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showInkAnnotation="0" codeName="ThisWorkbook"/>
  <mc:AlternateContent xmlns:mc="http://schemas.openxmlformats.org/markup-compatibility/2006">
    <mc:Choice Requires="x15">
      <x15ac:absPath xmlns:x15ac="http://schemas.microsoft.com/office/spreadsheetml/2010/11/ac" url="C:\Users\pined\Documents\HUMBERTO ACUÑA\LEY DE PRESUPUESTO DEL AÑO 2021\Formatos y Directivas de las entidades\Entidades\Energía y MInas\"/>
    </mc:Choice>
  </mc:AlternateContent>
  <xr:revisionPtr revIDLastSave="0" documentId="8_{5237808C-8CB3-4CD3-9F3D-3B070B9641EB}" xr6:coauthVersionLast="45" xr6:coauthVersionMax="45" xr10:uidLastSave="{00000000-0000-0000-0000-000000000000}"/>
  <bookViews>
    <workbookView xWindow="-120" yWindow="-120" windowWidth="20730" windowHeight="11160" tabRatio="825" activeTab="3" xr2:uid="{00000000-000D-0000-FFFF-FFFF00000000}"/>
  </bookViews>
  <sheets>
    <sheet name="Índice" sheetId="55" r:id="rId1"/>
    <sheet name="F-01" sheetId="82" r:id="rId2"/>
    <sheet name="F-02" sheetId="73" r:id="rId3"/>
    <sheet name="F-03" sheetId="70" r:id="rId4"/>
    <sheet name="F-04" sheetId="30" r:id="rId5"/>
    <sheet name="F-05" sheetId="76" r:id="rId6"/>
    <sheet name="F-06" sheetId="57" r:id="rId7"/>
    <sheet name="F-07" sheetId="9" r:id="rId8"/>
    <sheet name="F-08" sheetId="21" r:id="rId9"/>
    <sheet name="F-09" sheetId="60" r:id="rId10"/>
    <sheet name="F-10" sheetId="32" r:id="rId11"/>
    <sheet name="F-11" sheetId="84" r:id="rId12"/>
    <sheet name="F-12" sheetId="85" r:id="rId13"/>
    <sheet name="F-13" sheetId="81" r:id="rId14"/>
    <sheet name="F-14" sheetId="51" r:id="rId15"/>
    <sheet name="F-15" sheetId="39" r:id="rId16"/>
    <sheet name="F-16" sheetId="79" r:id="rId17"/>
    <sheet name="F-17" sheetId="83" r:id="rId18"/>
    <sheet name="F-18" sheetId="64" r:id="rId19"/>
    <sheet name="Hoja1" sheetId="78" state="hidden" r:id="rId20"/>
  </sheets>
  <definedNames>
    <definedName name="_xlnm.Print_Area" localSheetId="1">'F-01'!$A$1:$O$60</definedName>
    <definedName name="_xlnm.Print_Area" localSheetId="3">'F-03'!$A$1:$D$273</definedName>
    <definedName name="_xlnm.Print_Area" localSheetId="6">'F-06'!$A$1:$N$51</definedName>
    <definedName name="_xlnm.Print_Area" localSheetId="7">'F-07'!$A$1:$Q$21</definedName>
    <definedName name="_xlnm.Print_Area" localSheetId="8">'F-08'!$A$1:$R$25</definedName>
    <definedName name="_xlnm.Print_Area" localSheetId="9">'F-09'!$A$1:$X$166</definedName>
    <definedName name="_xlnm.Print_Area" localSheetId="10">'F-10'!$A$1:$I$90</definedName>
    <definedName name="_xlnm.Print_Area" localSheetId="11">'F-11'!$A$1:$AJ$233</definedName>
    <definedName name="_xlnm.Print_Area" localSheetId="13">'F-13'!$A$1:$N$88</definedName>
    <definedName name="_xlnm.Print_Area" localSheetId="15">'F-15'!$A$1:$H$284</definedName>
    <definedName name="_xlnm.Print_Area" localSheetId="16">'F-16'!$A$1:$H$150</definedName>
    <definedName name="_xlnm.Print_Area" localSheetId="17">'F-17'!$A$1:$P$1453</definedName>
    <definedName name="_xlnm.Print_Area" localSheetId="0">Índice!$A$1:$E$35</definedName>
    <definedName name="dd" localSheetId="1">#REF!</definedName>
    <definedName name="dd" localSheetId="2">#REF!</definedName>
    <definedName name="dd" localSheetId="3">#REF!</definedName>
    <definedName name="dd" localSheetId="5">#REF!</definedName>
    <definedName name="dd" localSheetId="11">#REF!</definedName>
    <definedName name="dd" localSheetId="13">#REF!</definedName>
    <definedName name="dd" localSheetId="17">#REF!</definedName>
    <definedName name="dd">#REF!</definedName>
    <definedName name="DIRECREC" localSheetId="1">#REF!</definedName>
    <definedName name="DIRECREC" localSheetId="2">#REF!</definedName>
    <definedName name="DIRECREC" localSheetId="3">#REF!</definedName>
    <definedName name="DIRECREC" localSheetId="5">#REF!</definedName>
    <definedName name="DIRECREC" localSheetId="6">#REF!</definedName>
    <definedName name="DIRECREC" localSheetId="9">#REF!</definedName>
    <definedName name="DIRECREC" localSheetId="11">#REF!</definedName>
    <definedName name="DIRECREC" localSheetId="13">#REF!</definedName>
    <definedName name="DIRECREC" localSheetId="17">#REF!</definedName>
    <definedName name="DIRECREC" localSheetId="18">#REF!</definedName>
    <definedName name="DIRECREC">#REF!</definedName>
    <definedName name="DONAC" localSheetId="1">#REF!</definedName>
    <definedName name="DONAC" localSheetId="2">#REF!</definedName>
    <definedName name="DONAC" localSheetId="3">#REF!</definedName>
    <definedName name="DONAC" localSheetId="5">#REF!</definedName>
    <definedName name="DONAC" localSheetId="6">#REF!</definedName>
    <definedName name="DONAC" localSheetId="9">#REF!</definedName>
    <definedName name="DONAC" localSheetId="11">#REF!</definedName>
    <definedName name="DONAC" localSheetId="13">#REF!</definedName>
    <definedName name="DONAC" localSheetId="17">#REF!</definedName>
    <definedName name="DONAC" localSheetId="18">#REF!</definedName>
    <definedName name="DONAC">#REF!</definedName>
    <definedName name="EE" localSheetId="1">#REF!</definedName>
    <definedName name="EE" localSheetId="2">#REF!</definedName>
    <definedName name="EE" localSheetId="3">#REF!</definedName>
    <definedName name="EE" localSheetId="5">#REF!</definedName>
    <definedName name="EE" localSheetId="11">#REF!</definedName>
    <definedName name="EE" localSheetId="13">#REF!</definedName>
    <definedName name="EE" localSheetId="17">#REF!</definedName>
    <definedName name="EE">#REF!</definedName>
    <definedName name="RECORD" localSheetId="1">#REF!</definedName>
    <definedName name="RECORD" localSheetId="2">#REF!</definedName>
    <definedName name="RECORD" localSheetId="3">#REF!</definedName>
    <definedName name="RECORD" localSheetId="5">#REF!</definedName>
    <definedName name="RECORD" localSheetId="6">#REF!</definedName>
    <definedName name="RECORD" localSheetId="9">#REF!</definedName>
    <definedName name="RECORD" localSheetId="11">#REF!</definedName>
    <definedName name="RECORD" localSheetId="13">#REF!</definedName>
    <definedName name="RECORD" localSheetId="17">#REF!</definedName>
    <definedName name="RECORD" localSheetId="18">#REF!</definedName>
    <definedName name="RECORD">#REF!</definedName>
    <definedName name="RECPUB" localSheetId="1">#REF!</definedName>
    <definedName name="RECPUB" localSheetId="2">#REF!</definedName>
    <definedName name="RECPUB" localSheetId="3">#REF!</definedName>
    <definedName name="RECPUB" localSheetId="5">#REF!</definedName>
    <definedName name="RECPUB" localSheetId="6">#REF!</definedName>
    <definedName name="RECPUB" localSheetId="9">#REF!</definedName>
    <definedName name="RECPUB" localSheetId="11">#REF!</definedName>
    <definedName name="RECPUB" localSheetId="13">#REF!</definedName>
    <definedName name="RECPUB" localSheetId="17">#REF!</definedName>
    <definedName name="RECPUB" localSheetId="18">#REF!</definedName>
    <definedName name="RECPUB">#REF!</definedName>
    <definedName name="_xlnm.Print_Titles" localSheetId="1">'F-01'!$1:$2</definedName>
    <definedName name="_xlnm.Print_Titles" localSheetId="2">'F-02'!$1:$2</definedName>
    <definedName name="_xlnm.Print_Titles" localSheetId="3">'F-03'!$1:$2</definedName>
    <definedName name="_xlnm.Print_Titles" localSheetId="9">'F-09'!$1:$2</definedName>
    <definedName name="_xlnm.Print_Titles" localSheetId="10">'F-10'!$1:$2</definedName>
    <definedName name="_xlnm.Print_Titles" localSheetId="11">'F-11'!$1:$2</definedName>
    <definedName name="_xlnm.Print_Titles" localSheetId="12">'F-12'!$1:$2</definedName>
    <definedName name="_xlnm.Print_Titles" localSheetId="13">'F-13'!$1:$2</definedName>
    <definedName name="_xlnm.Print_Titles" localSheetId="14">'F-14'!$1:$4</definedName>
    <definedName name="_xlnm.Print_Titles" localSheetId="15">'F-15'!$1:$2</definedName>
    <definedName name="_xlnm.Print_Titles" localSheetId="16">'F-16'!$1:$2</definedName>
    <definedName name="_xlnm.Print_Titles" localSheetId="17">'F-17'!$1:$5</definedName>
    <definedName name="_xlnm.Print_Titles" localSheetId="18">'F-18'!$1:$2</definedName>
    <definedName name="_xlnm.Print_Titles" localSheetId="0">Índice!$1:$1</definedName>
    <definedName name="XPRINT" localSheetId="1">#REF!</definedName>
    <definedName name="XPRINT" localSheetId="2">#REF!</definedName>
    <definedName name="XPRINT" localSheetId="3">#REF!</definedName>
    <definedName name="XPRINT" localSheetId="5">#REF!</definedName>
    <definedName name="XPRINT" localSheetId="6">#REF!</definedName>
    <definedName name="XPRINT" localSheetId="9">#REF!</definedName>
    <definedName name="XPRINT" localSheetId="11">#REF!</definedName>
    <definedName name="XPRINT" localSheetId="13">#REF!</definedName>
    <definedName name="XPRINT" localSheetId="17">#REF!</definedName>
    <definedName name="XPRINT" localSheetId="18">#REF!</definedName>
    <definedName name="XPRINT">#REF!</definedName>
    <definedName name="XPRINT2" localSheetId="1">#REF!</definedName>
    <definedName name="XPRINT2" localSheetId="2">#REF!</definedName>
    <definedName name="XPRINT2" localSheetId="3">#REF!</definedName>
    <definedName name="XPRINT2" localSheetId="5">#REF!</definedName>
    <definedName name="XPRINT2" localSheetId="6">#REF!</definedName>
    <definedName name="XPRINT2" localSheetId="9">#REF!</definedName>
    <definedName name="XPRINT2" localSheetId="11">#REF!</definedName>
    <definedName name="XPRINT2" localSheetId="13">#REF!</definedName>
    <definedName name="XPRINT2" localSheetId="17">#REF!</definedName>
    <definedName name="XPRINT2" localSheetId="18">#REF!</definedName>
    <definedName name="XPRINT2">#REF!</definedName>
    <definedName name="XPRINT3" localSheetId="1">#REF!</definedName>
    <definedName name="XPRINT3" localSheetId="2">#REF!</definedName>
    <definedName name="XPRINT3" localSheetId="3">#REF!</definedName>
    <definedName name="XPRINT3" localSheetId="5">#REF!</definedName>
    <definedName name="XPRINT3" localSheetId="6">#REF!</definedName>
    <definedName name="XPRINT3" localSheetId="9">#REF!</definedName>
    <definedName name="XPRINT3" localSheetId="11">#REF!</definedName>
    <definedName name="XPRINT3" localSheetId="13">#REF!</definedName>
    <definedName name="XPRINT3" localSheetId="17">#REF!</definedName>
    <definedName name="XPRINT3" localSheetId="18">#REF!</definedName>
    <definedName name="XPRINT3">#REF!</definedName>
    <definedName name="XPRINT4" localSheetId="1">#REF!</definedName>
    <definedName name="XPRINT4" localSheetId="2">#REF!</definedName>
    <definedName name="XPRINT4" localSheetId="3">#REF!</definedName>
    <definedName name="XPRINT4" localSheetId="5">#REF!</definedName>
    <definedName name="XPRINT4" localSheetId="6">#REF!</definedName>
    <definedName name="XPRINT4" localSheetId="9">#REF!</definedName>
    <definedName name="XPRINT4" localSheetId="11">#REF!</definedName>
    <definedName name="XPRINT4" localSheetId="13">#REF!</definedName>
    <definedName name="XPRINT4" localSheetId="17">#REF!</definedName>
    <definedName name="XPRINT4" localSheetId="18">#REF!</definedName>
    <definedName name="XPRINT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2" i="70" l="1"/>
  <c r="C136" i="70"/>
  <c r="C19" i="73"/>
  <c r="C17" i="73"/>
  <c r="C16" i="73"/>
  <c r="C265" i="70"/>
  <c r="C248" i="70"/>
  <c r="C22" i="73"/>
  <c r="C21" i="73"/>
  <c r="C33" i="73"/>
  <c r="C18" i="73" l="1"/>
  <c r="C25" i="73" s="1"/>
  <c r="AI120" i="84"/>
  <c r="E120" i="85" l="1"/>
  <c r="D120" i="85"/>
  <c r="F161" i="85"/>
  <c r="E161" i="85"/>
  <c r="D161" i="85"/>
  <c r="I160" i="85"/>
  <c r="I159" i="85"/>
  <c r="I158" i="85"/>
  <c r="I157" i="85"/>
  <c r="I156" i="85"/>
  <c r="I155" i="85"/>
  <c r="I154" i="85"/>
  <c r="I153" i="85"/>
  <c r="I152" i="85"/>
  <c r="I151" i="85"/>
  <c r="I150" i="85"/>
  <c r="I149" i="85"/>
  <c r="I148" i="85"/>
  <c r="I147" i="85"/>
  <c r="I146" i="85"/>
  <c r="I144" i="85"/>
  <c r="I143" i="85"/>
  <c r="I142" i="85"/>
  <c r="I141" i="85"/>
  <c r="I140" i="85"/>
  <c r="I139" i="85"/>
  <c r="I138" i="85"/>
  <c r="I137" i="85"/>
  <c r="I136" i="85"/>
  <c r="I135" i="85"/>
  <c r="I134" i="85"/>
  <c r="I133" i="85"/>
  <c r="I132" i="85"/>
  <c r="I131" i="85"/>
  <c r="I130" i="85"/>
  <c r="I129" i="85"/>
  <c r="G129" i="85"/>
  <c r="D12" i="70" l="1"/>
  <c r="D11" i="70"/>
  <c r="D42" i="70" l="1"/>
  <c r="C6" i="73"/>
  <c r="D6" i="73"/>
  <c r="B6" i="73"/>
  <c r="B13" i="73" s="1"/>
  <c r="D18" i="73"/>
  <c r="B18" i="73"/>
  <c r="B30" i="73"/>
  <c r="B37" i="73" s="1"/>
  <c r="C30" i="73"/>
  <c r="D30" i="73"/>
  <c r="G160" i="85" l="1"/>
  <c r="G159" i="85"/>
  <c r="G158" i="85"/>
  <c r="G157" i="85"/>
  <c r="G156" i="85"/>
  <c r="B155" i="85"/>
  <c r="H155" i="85" s="1"/>
  <c r="B154" i="85"/>
  <c r="H154" i="85" s="1"/>
  <c r="J153" i="85"/>
  <c r="H153" i="85"/>
  <c r="G153" i="85"/>
  <c r="G152" i="85"/>
  <c r="G151" i="85"/>
  <c r="C151" i="85"/>
  <c r="G150" i="85"/>
  <c r="B149" i="85"/>
  <c r="H149" i="85" s="1"/>
  <c r="B148" i="85"/>
  <c r="H148" i="85" s="1"/>
  <c r="G147" i="85"/>
  <c r="G146" i="85"/>
  <c r="I145" i="85"/>
  <c r="I161" i="85" s="1"/>
  <c r="G145" i="85"/>
  <c r="G144" i="85"/>
  <c r="G143" i="85"/>
  <c r="G142" i="85"/>
  <c r="G141" i="85"/>
  <c r="G140" i="85"/>
  <c r="B139" i="85"/>
  <c r="H139" i="85" s="1"/>
  <c r="G138" i="85"/>
  <c r="B137" i="85"/>
  <c r="G137" i="85" s="1"/>
  <c r="G136" i="85"/>
  <c r="B135" i="85"/>
  <c r="H135" i="85" s="1"/>
  <c r="G134" i="85"/>
  <c r="G133" i="85"/>
  <c r="G132" i="85"/>
  <c r="G131" i="85"/>
  <c r="C130" i="85"/>
  <c r="B130" i="85"/>
  <c r="G119" i="85"/>
  <c r="F119" i="85"/>
  <c r="I119" i="85" s="1"/>
  <c r="J118" i="85"/>
  <c r="I118" i="85"/>
  <c r="G118" i="85"/>
  <c r="C118" i="85"/>
  <c r="B118" i="85"/>
  <c r="H118" i="85" s="1"/>
  <c r="J117" i="85"/>
  <c r="I117" i="85"/>
  <c r="G117" i="85"/>
  <c r="C117" i="85"/>
  <c r="C35" i="85" s="1"/>
  <c r="B117" i="85"/>
  <c r="H117" i="85" s="1"/>
  <c r="I116" i="85"/>
  <c r="C116" i="85"/>
  <c r="C34" i="85" s="1"/>
  <c r="B116" i="85"/>
  <c r="G116" i="85" s="1"/>
  <c r="J115" i="85"/>
  <c r="I115" i="85"/>
  <c r="F115" i="85"/>
  <c r="C115" i="85"/>
  <c r="C33" i="85" s="1"/>
  <c r="B115" i="85"/>
  <c r="G115" i="85" s="1"/>
  <c r="F114" i="85"/>
  <c r="J114" i="85" s="1"/>
  <c r="C114" i="85"/>
  <c r="B114" i="85"/>
  <c r="H114" i="85" s="1"/>
  <c r="F113" i="85"/>
  <c r="I113" i="85" s="1"/>
  <c r="C113" i="85"/>
  <c r="B113" i="85"/>
  <c r="H113" i="85" s="1"/>
  <c r="H112" i="85"/>
  <c r="G112" i="85"/>
  <c r="F112" i="85"/>
  <c r="J112" i="85" s="1"/>
  <c r="J111" i="85"/>
  <c r="I111" i="85"/>
  <c r="H111" i="85"/>
  <c r="G111" i="85"/>
  <c r="C111" i="85"/>
  <c r="C29" i="85" s="1"/>
  <c r="B111" i="85"/>
  <c r="F110" i="85"/>
  <c r="I110" i="85" s="1"/>
  <c r="C110" i="85"/>
  <c r="B110" i="85"/>
  <c r="G110" i="85" s="1"/>
  <c r="J109" i="85"/>
  <c r="H109" i="85"/>
  <c r="F109" i="85"/>
  <c r="I109" i="85" s="1"/>
  <c r="C109" i="85"/>
  <c r="C27" i="85" s="1"/>
  <c r="B109" i="85"/>
  <c r="G109" i="85" s="1"/>
  <c r="H108" i="85"/>
  <c r="G108" i="85"/>
  <c r="F108" i="85"/>
  <c r="J108" i="85" s="1"/>
  <c r="C108" i="85"/>
  <c r="C26" i="85" s="1"/>
  <c r="B108" i="85"/>
  <c r="J107" i="85"/>
  <c r="I107" i="85"/>
  <c r="F107" i="85"/>
  <c r="C107" i="85"/>
  <c r="B107" i="85"/>
  <c r="H107" i="85" s="1"/>
  <c r="J106" i="85"/>
  <c r="I106" i="85"/>
  <c r="F106" i="85"/>
  <c r="C106" i="85"/>
  <c r="B106" i="85"/>
  <c r="H106" i="85" s="1"/>
  <c r="F105" i="85"/>
  <c r="J105" i="85" s="1"/>
  <c r="C105" i="85"/>
  <c r="B105" i="85"/>
  <c r="H105" i="85" s="1"/>
  <c r="F104" i="85"/>
  <c r="J104" i="85" s="1"/>
  <c r="C104" i="85"/>
  <c r="B104" i="85"/>
  <c r="H104" i="85" s="1"/>
  <c r="J103" i="85"/>
  <c r="I103" i="85"/>
  <c r="C103" i="85"/>
  <c r="B103" i="85"/>
  <c r="H103" i="85" s="1"/>
  <c r="J102" i="85"/>
  <c r="I102" i="85"/>
  <c r="G102" i="85"/>
  <c r="C102" i="85"/>
  <c r="B102" i="85"/>
  <c r="B20" i="85" s="1"/>
  <c r="F101" i="85"/>
  <c r="J101" i="85" s="1"/>
  <c r="C101" i="85"/>
  <c r="C19" i="85" s="1"/>
  <c r="B101" i="85"/>
  <c r="B19" i="85" s="1"/>
  <c r="I100" i="85"/>
  <c r="C100" i="85"/>
  <c r="C18" i="85" s="1"/>
  <c r="B100" i="85"/>
  <c r="G100" i="85" s="1"/>
  <c r="F99" i="85"/>
  <c r="I99" i="85" s="1"/>
  <c r="C99" i="85"/>
  <c r="C17" i="85" s="1"/>
  <c r="B99" i="85"/>
  <c r="H99" i="85" s="1"/>
  <c r="J98" i="85"/>
  <c r="G98" i="85"/>
  <c r="F98" i="85"/>
  <c r="I98" i="85" s="1"/>
  <c r="C98" i="85"/>
  <c r="B98" i="85"/>
  <c r="H98" i="85" s="1"/>
  <c r="J97" i="85"/>
  <c r="I97" i="85"/>
  <c r="C97" i="85"/>
  <c r="C15" i="85" s="1"/>
  <c r="B97" i="85"/>
  <c r="B15" i="85" s="1"/>
  <c r="I96" i="85"/>
  <c r="H96" i="85"/>
  <c r="G96" i="85"/>
  <c r="F96" i="85"/>
  <c r="J96" i="85" s="1"/>
  <c r="J95" i="85"/>
  <c r="I95" i="85"/>
  <c r="C95" i="85"/>
  <c r="C13" i="85" s="1"/>
  <c r="B95" i="85"/>
  <c r="F94" i="85"/>
  <c r="J94" i="85" s="1"/>
  <c r="C94" i="85"/>
  <c r="B94" i="85"/>
  <c r="H94" i="85" s="1"/>
  <c r="G93" i="85"/>
  <c r="F93" i="85"/>
  <c r="J93" i="85" s="1"/>
  <c r="C93" i="85"/>
  <c r="C11" i="85" s="1"/>
  <c r="B93" i="85"/>
  <c r="H93" i="85" s="1"/>
  <c r="J92" i="85"/>
  <c r="I92" i="85"/>
  <c r="G92" i="85"/>
  <c r="C92" i="85"/>
  <c r="B92" i="85"/>
  <c r="H92" i="85" s="1"/>
  <c r="I91" i="85"/>
  <c r="G91" i="85"/>
  <c r="I90" i="85"/>
  <c r="G90" i="85"/>
  <c r="I89" i="85"/>
  <c r="G89" i="85"/>
  <c r="F89" i="85"/>
  <c r="J89" i="85" s="1"/>
  <c r="C89" i="85"/>
  <c r="B89" i="85"/>
  <c r="H89" i="85" s="1"/>
  <c r="H88" i="85"/>
  <c r="F88" i="85"/>
  <c r="C88" i="85"/>
  <c r="B88" i="85"/>
  <c r="F79" i="85"/>
  <c r="E79" i="85"/>
  <c r="D79" i="85"/>
  <c r="C79" i="85"/>
  <c r="B79" i="85"/>
  <c r="I78" i="85"/>
  <c r="G78" i="85"/>
  <c r="I77" i="85"/>
  <c r="G77" i="85"/>
  <c r="I76" i="85"/>
  <c r="G76" i="85"/>
  <c r="I75" i="85"/>
  <c r="G75" i="85"/>
  <c r="I74" i="85"/>
  <c r="G74" i="85"/>
  <c r="I73" i="85"/>
  <c r="G73" i="85"/>
  <c r="I72" i="85"/>
  <c r="G72" i="85"/>
  <c r="J71" i="85"/>
  <c r="I71" i="85"/>
  <c r="H71" i="85"/>
  <c r="G71" i="85"/>
  <c r="I70" i="85"/>
  <c r="G70" i="85"/>
  <c r="J69" i="85"/>
  <c r="I69" i="85"/>
  <c r="G69" i="85"/>
  <c r="J68" i="85"/>
  <c r="I68" i="85"/>
  <c r="H68" i="85"/>
  <c r="G68" i="85"/>
  <c r="J67" i="85"/>
  <c r="I67" i="85"/>
  <c r="H67" i="85"/>
  <c r="G67" i="85"/>
  <c r="I66" i="85"/>
  <c r="G66" i="85"/>
  <c r="I65" i="85"/>
  <c r="G65" i="85"/>
  <c r="J64" i="85"/>
  <c r="I64" i="85"/>
  <c r="G64" i="85"/>
  <c r="I63" i="85"/>
  <c r="G63" i="85"/>
  <c r="I62" i="85"/>
  <c r="G62" i="85"/>
  <c r="I61" i="85"/>
  <c r="G61" i="85"/>
  <c r="J60" i="85"/>
  <c r="I60" i="85"/>
  <c r="G60" i="85"/>
  <c r="J59" i="85"/>
  <c r="I59" i="85"/>
  <c r="G59" i="85"/>
  <c r="I58" i="85"/>
  <c r="G58" i="85"/>
  <c r="J57" i="85"/>
  <c r="I57" i="85"/>
  <c r="H57" i="85"/>
  <c r="G57" i="85"/>
  <c r="I56" i="85"/>
  <c r="G56" i="85"/>
  <c r="J55" i="85"/>
  <c r="I55" i="85"/>
  <c r="H55" i="85"/>
  <c r="G55" i="85"/>
  <c r="I54" i="85"/>
  <c r="G54" i="85"/>
  <c r="J53" i="85"/>
  <c r="I53" i="85"/>
  <c r="H53" i="85"/>
  <c r="G53" i="85"/>
  <c r="J52" i="85"/>
  <c r="I52" i="85"/>
  <c r="G52" i="85"/>
  <c r="I51" i="85"/>
  <c r="G51" i="85"/>
  <c r="I50" i="85"/>
  <c r="G50" i="85"/>
  <c r="I49" i="85"/>
  <c r="G49" i="85"/>
  <c r="J48" i="85"/>
  <c r="I48" i="85"/>
  <c r="G48" i="85"/>
  <c r="J47" i="85"/>
  <c r="I47" i="85"/>
  <c r="H47" i="85"/>
  <c r="G47" i="85"/>
  <c r="F37" i="85"/>
  <c r="I37" i="85" s="1"/>
  <c r="E37" i="85"/>
  <c r="D37" i="85"/>
  <c r="G37" i="85" s="1"/>
  <c r="C37" i="85"/>
  <c r="B37" i="85"/>
  <c r="F36" i="85"/>
  <c r="I36" i="85" s="1"/>
  <c r="E36" i="85"/>
  <c r="D36" i="85"/>
  <c r="C36" i="85"/>
  <c r="B36" i="85"/>
  <c r="J35" i="85"/>
  <c r="F35" i="85"/>
  <c r="E35" i="85"/>
  <c r="D35" i="85"/>
  <c r="B35" i="85"/>
  <c r="F34" i="85"/>
  <c r="E34" i="85"/>
  <c r="D34" i="85"/>
  <c r="G34" i="85" s="1"/>
  <c r="B34" i="85"/>
  <c r="F33" i="85"/>
  <c r="J33" i="85" s="1"/>
  <c r="E33" i="85"/>
  <c r="D33" i="85"/>
  <c r="F32" i="85"/>
  <c r="J32" i="85" s="1"/>
  <c r="E32" i="85"/>
  <c r="D32" i="85"/>
  <c r="C32" i="85"/>
  <c r="E31" i="85"/>
  <c r="D31" i="85"/>
  <c r="C31" i="85"/>
  <c r="F30" i="85"/>
  <c r="J30" i="85" s="1"/>
  <c r="E30" i="85"/>
  <c r="D30" i="85"/>
  <c r="C30" i="85"/>
  <c r="B30" i="85"/>
  <c r="F29" i="85"/>
  <c r="E29" i="85"/>
  <c r="D29" i="85"/>
  <c r="B29" i="85"/>
  <c r="E28" i="85"/>
  <c r="D28" i="85"/>
  <c r="C28" i="85"/>
  <c r="F27" i="85"/>
  <c r="I27" i="85" s="1"/>
  <c r="E27" i="85"/>
  <c r="D27" i="85"/>
  <c r="B27" i="85"/>
  <c r="F26" i="85"/>
  <c r="J26" i="85" s="1"/>
  <c r="E26" i="85"/>
  <c r="D26" i="85"/>
  <c r="B26" i="85"/>
  <c r="F25" i="85"/>
  <c r="J25" i="85" s="1"/>
  <c r="E25" i="85"/>
  <c r="D25" i="85"/>
  <c r="C25" i="85"/>
  <c r="F24" i="85"/>
  <c r="E24" i="85"/>
  <c r="D24" i="85"/>
  <c r="C24" i="85"/>
  <c r="F23" i="85"/>
  <c r="J23" i="85" s="1"/>
  <c r="E23" i="85"/>
  <c r="D23" i="85"/>
  <c r="C23" i="85"/>
  <c r="E22" i="85"/>
  <c r="D22" i="85"/>
  <c r="C22" i="85"/>
  <c r="F21" i="85"/>
  <c r="J21" i="85" s="1"/>
  <c r="E21" i="85"/>
  <c r="D21" i="85"/>
  <c r="C21" i="85"/>
  <c r="B21" i="85"/>
  <c r="F20" i="85"/>
  <c r="J20" i="85" s="1"/>
  <c r="E20" i="85"/>
  <c r="D20" i="85"/>
  <c r="C20" i="85"/>
  <c r="F19" i="85"/>
  <c r="E19" i="85"/>
  <c r="D19" i="85"/>
  <c r="F18" i="85"/>
  <c r="J18" i="85" s="1"/>
  <c r="E18" i="85"/>
  <c r="D18" i="85"/>
  <c r="B18" i="85"/>
  <c r="G18" i="85" s="1"/>
  <c r="F17" i="85"/>
  <c r="E17" i="85"/>
  <c r="D17" i="85"/>
  <c r="B17" i="85"/>
  <c r="F16" i="85"/>
  <c r="J16" i="85" s="1"/>
  <c r="E16" i="85"/>
  <c r="D16" i="85"/>
  <c r="C16" i="85"/>
  <c r="I15" i="85"/>
  <c r="F15" i="85"/>
  <c r="J15" i="85" s="1"/>
  <c r="E15" i="85"/>
  <c r="D15" i="85"/>
  <c r="F14" i="85"/>
  <c r="J14" i="85" s="1"/>
  <c r="E14" i="85"/>
  <c r="D14" i="85"/>
  <c r="C14" i="85"/>
  <c r="B14" i="85"/>
  <c r="F13" i="85"/>
  <c r="J13" i="85" s="1"/>
  <c r="E13" i="85"/>
  <c r="D13" i="85"/>
  <c r="B13" i="85"/>
  <c r="E12" i="85"/>
  <c r="D12" i="85"/>
  <c r="C12" i="85"/>
  <c r="F11" i="85"/>
  <c r="J11" i="85" s="1"/>
  <c r="E11" i="85"/>
  <c r="D11" i="85"/>
  <c r="B11" i="85"/>
  <c r="F10" i="85"/>
  <c r="E10" i="85"/>
  <c r="D10" i="85"/>
  <c r="C10" i="85"/>
  <c r="B10" i="85"/>
  <c r="F9" i="85"/>
  <c r="I9" i="85" s="1"/>
  <c r="E9" i="85"/>
  <c r="D9" i="85"/>
  <c r="C9" i="85"/>
  <c r="B9" i="85"/>
  <c r="F8" i="85"/>
  <c r="I8" i="85" s="1"/>
  <c r="E8" i="85"/>
  <c r="D8" i="85"/>
  <c r="G8" i="85" s="1"/>
  <c r="C8" i="85"/>
  <c r="B8" i="85"/>
  <c r="F7" i="85"/>
  <c r="E7" i="85"/>
  <c r="D7" i="85"/>
  <c r="C7" i="85"/>
  <c r="E6" i="85"/>
  <c r="D6" i="85"/>
  <c r="B6" i="85"/>
  <c r="G29" i="85" l="1"/>
  <c r="H29" i="85"/>
  <c r="F12" i="85"/>
  <c r="J19" i="85"/>
  <c r="G94" i="85"/>
  <c r="G113" i="85"/>
  <c r="B7" i="85"/>
  <c r="B161" i="85"/>
  <c r="G155" i="85"/>
  <c r="I34" i="85"/>
  <c r="H79" i="85"/>
  <c r="I7" i="85"/>
  <c r="J24" i="85"/>
  <c r="H26" i="85"/>
  <c r="G26" i="85"/>
  <c r="G31" i="85"/>
  <c r="G36" i="85"/>
  <c r="H36" i="85"/>
  <c r="G11" i="85"/>
  <c r="H11" i="85"/>
  <c r="G14" i="85"/>
  <c r="H14" i="85"/>
  <c r="J17" i="85"/>
  <c r="I19" i="85"/>
  <c r="H21" i="85"/>
  <c r="G21" i="85"/>
  <c r="G23" i="85"/>
  <c r="I24" i="85"/>
  <c r="J29" i="85"/>
  <c r="I35" i="85"/>
  <c r="H35" i="85"/>
  <c r="G79" i="85"/>
  <c r="J99" i="85"/>
  <c r="C161" i="85"/>
  <c r="H137" i="85"/>
  <c r="H27" i="85"/>
  <c r="G27" i="85"/>
  <c r="B25" i="85"/>
  <c r="H25" i="85" s="1"/>
  <c r="J79" i="85"/>
  <c r="I94" i="85"/>
  <c r="H17" i="85"/>
  <c r="G17" i="85"/>
  <c r="J36" i="85"/>
  <c r="J110" i="85"/>
  <c r="G10" i="85"/>
  <c r="H10" i="85"/>
  <c r="J10" i="85"/>
  <c r="J27" i="85"/>
  <c r="G6" i="85"/>
  <c r="H18" i="85"/>
  <c r="G20" i="85"/>
  <c r="H20" i="85"/>
  <c r="I79" i="85"/>
  <c r="B120" i="85"/>
  <c r="H120" i="85" s="1"/>
  <c r="E38" i="85"/>
  <c r="I11" i="85"/>
  <c r="H13" i="85"/>
  <c r="G13" i="85"/>
  <c r="G15" i="85"/>
  <c r="H15" i="85"/>
  <c r="I16" i="85"/>
  <c r="B22" i="85"/>
  <c r="I23" i="85"/>
  <c r="F28" i="85"/>
  <c r="G30" i="85"/>
  <c r="H30" i="85"/>
  <c r="G35" i="85"/>
  <c r="C6" i="85"/>
  <c r="C38" i="85" s="1"/>
  <c r="C120" i="85"/>
  <c r="H102" i="85"/>
  <c r="F6" i="85"/>
  <c r="F120" i="85"/>
  <c r="J7" i="85"/>
  <c r="H7" i="85"/>
  <c r="G7" i="85"/>
  <c r="G12" i="85"/>
  <c r="G19" i="85"/>
  <c r="H19" i="85"/>
  <c r="I20" i="85"/>
  <c r="G22" i="85"/>
  <c r="H22" i="85"/>
  <c r="H24" i="85"/>
  <c r="I32" i="85"/>
  <c r="G88" i="85"/>
  <c r="G104" i="85"/>
  <c r="J6" i="85"/>
  <c r="I6" i="85"/>
  <c r="G106" i="85"/>
  <c r="F22" i="85"/>
  <c r="G97" i="85"/>
  <c r="G130" i="85"/>
  <c r="G135" i="85"/>
  <c r="G139" i="85"/>
  <c r="G149" i="85"/>
  <c r="B12" i="85"/>
  <c r="H12" i="85" s="1"/>
  <c r="B16" i="85"/>
  <c r="H16" i="85" s="1"/>
  <c r="B24" i="85"/>
  <c r="G24" i="85" s="1"/>
  <c r="B28" i="85"/>
  <c r="H28" i="85" s="1"/>
  <c r="B32" i="85"/>
  <c r="G32" i="85" s="1"/>
  <c r="G95" i="85"/>
  <c r="H97" i="85"/>
  <c r="G101" i="85"/>
  <c r="G103" i="85"/>
  <c r="H130" i="85"/>
  <c r="I104" i="85"/>
  <c r="J113" i="85"/>
  <c r="I10" i="85"/>
  <c r="I14" i="85"/>
  <c r="I18" i="85"/>
  <c r="I26" i="85"/>
  <c r="I30" i="85"/>
  <c r="I88" i="85"/>
  <c r="I93" i="85"/>
  <c r="H95" i="85"/>
  <c r="G99" i="85"/>
  <c r="H101" i="85"/>
  <c r="I108" i="85"/>
  <c r="J88" i="85"/>
  <c r="I101" i="85"/>
  <c r="G105" i="85"/>
  <c r="H110" i="85"/>
  <c r="I112" i="85"/>
  <c r="G114" i="85"/>
  <c r="G154" i="85"/>
  <c r="B23" i="85"/>
  <c r="H23" i="85" s="1"/>
  <c r="B31" i="85"/>
  <c r="H31" i="85" s="1"/>
  <c r="I25" i="85"/>
  <c r="I105" i="85"/>
  <c r="G107" i="85"/>
  <c r="I114" i="85"/>
  <c r="B33" i="85"/>
  <c r="H33" i="85" s="1"/>
  <c r="H115" i="85"/>
  <c r="I13" i="85"/>
  <c r="I17" i="85"/>
  <c r="I21" i="85"/>
  <c r="I29" i="85"/>
  <c r="I33" i="85"/>
  <c r="D38" i="85"/>
  <c r="F31" i="85"/>
  <c r="G148" i="85"/>
  <c r="AB211" i="84"/>
  <c r="AA211" i="84"/>
  <c r="Y211" i="84"/>
  <c r="X211" i="84"/>
  <c r="W211" i="84"/>
  <c r="V211" i="84"/>
  <c r="U211" i="84"/>
  <c r="T211" i="84"/>
  <c r="S211" i="84"/>
  <c r="R211" i="84"/>
  <c r="Q211" i="84"/>
  <c r="M211" i="84"/>
  <c r="L211" i="84"/>
  <c r="J211" i="84"/>
  <c r="I211" i="84"/>
  <c r="H211" i="84"/>
  <c r="G211" i="84"/>
  <c r="F211" i="84"/>
  <c r="E211" i="84"/>
  <c r="D211" i="84"/>
  <c r="C211" i="84"/>
  <c r="B211" i="84"/>
  <c r="AB204" i="84"/>
  <c r="AA204" i="84"/>
  <c r="Y204" i="84"/>
  <c r="X204" i="84"/>
  <c r="W204" i="84"/>
  <c r="V204" i="84"/>
  <c r="U204" i="84"/>
  <c r="T204" i="84"/>
  <c r="S204" i="84"/>
  <c r="R204" i="84"/>
  <c r="Q204" i="84"/>
  <c r="M204" i="84"/>
  <c r="J204" i="84"/>
  <c r="I204" i="84"/>
  <c r="H204" i="84"/>
  <c r="G204" i="84"/>
  <c r="F204" i="84"/>
  <c r="E204" i="84"/>
  <c r="D204" i="84"/>
  <c r="C204" i="84"/>
  <c r="B204" i="84"/>
  <c r="AB198" i="84"/>
  <c r="AA198" i="84"/>
  <c r="Y198" i="84"/>
  <c r="X198" i="84"/>
  <c r="W198" i="84"/>
  <c r="V198" i="84"/>
  <c r="U198" i="84"/>
  <c r="T198" i="84"/>
  <c r="S198" i="84"/>
  <c r="R198" i="84"/>
  <c r="Q198" i="84"/>
  <c r="M198" i="84"/>
  <c r="L198" i="84"/>
  <c r="J198" i="84"/>
  <c r="I198" i="84"/>
  <c r="H198" i="84"/>
  <c r="G198" i="84"/>
  <c r="F198" i="84"/>
  <c r="E198" i="84"/>
  <c r="D198" i="84"/>
  <c r="C198" i="84"/>
  <c r="B198" i="84"/>
  <c r="AB191" i="84"/>
  <c r="AA191" i="84"/>
  <c r="Y191" i="84"/>
  <c r="X191" i="84"/>
  <c r="W191" i="84"/>
  <c r="V191" i="84"/>
  <c r="U191" i="84"/>
  <c r="T191" i="84"/>
  <c r="S191" i="84"/>
  <c r="R191" i="84"/>
  <c r="Q191" i="84"/>
  <c r="M191" i="84"/>
  <c r="J191" i="84"/>
  <c r="I191" i="84"/>
  <c r="H191" i="84"/>
  <c r="G191" i="84"/>
  <c r="F191" i="84"/>
  <c r="E191" i="84"/>
  <c r="D191" i="84"/>
  <c r="C191" i="84"/>
  <c r="K192" i="84"/>
  <c r="B191" i="84"/>
  <c r="B39" i="84"/>
  <c r="C39" i="84"/>
  <c r="D39" i="84"/>
  <c r="E39" i="84"/>
  <c r="F39" i="84"/>
  <c r="G39" i="84"/>
  <c r="H39" i="84"/>
  <c r="I39" i="84"/>
  <c r="J39" i="84"/>
  <c r="L39" i="84"/>
  <c r="M39" i="84"/>
  <c r="Q39" i="84"/>
  <c r="R39" i="84"/>
  <c r="S39" i="84"/>
  <c r="T39" i="84"/>
  <c r="U39" i="84"/>
  <c r="V39" i="84"/>
  <c r="W39" i="84"/>
  <c r="X39" i="84"/>
  <c r="Y39" i="84"/>
  <c r="AA39" i="84"/>
  <c r="AB39" i="84"/>
  <c r="AH39" i="84"/>
  <c r="K25" i="84"/>
  <c r="K24" i="84"/>
  <c r="K23" i="84"/>
  <c r="K22" i="84"/>
  <c r="K21" i="84"/>
  <c r="K14" i="84"/>
  <c r="B13" i="84"/>
  <c r="C13" i="84"/>
  <c r="D13" i="84"/>
  <c r="E13" i="84"/>
  <c r="F13" i="84"/>
  <c r="G13" i="84"/>
  <c r="H13" i="84"/>
  <c r="I13" i="84"/>
  <c r="J13" i="84"/>
  <c r="L13" i="84"/>
  <c r="M13" i="84"/>
  <c r="Q13" i="84"/>
  <c r="T13" i="84"/>
  <c r="U13" i="84"/>
  <c r="V13" i="84"/>
  <c r="W13" i="84"/>
  <c r="X13" i="84"/>
  <c r="Y13" i="84"/>
  <c r="AA13" i="84"/>
  <c r="AB13" i="84"/>
  <c r="AH13" i="84"/>
  <c r="N14" i="84"/>
  <c r="Z14" i="84"/>
  <c r="AC14" i="84"/>
  <c r="AI14" i="84"/>
  <c r="K15" i="84"/>
  <c r="N15" i="84"/>
  <c r="R15" i="84"/>
  <c r="Z15" i="84" s="1"/>
  <c r="AC15" i="84"/>
  <c r="AI15" i="84"/>
  <c r="K16" i="84"/>
  <c r="N16" i="84"/>
  <c r="Z16" i="84"/>
  <c r="AC16" i="84"/>
  <c r="AI16" i="84"/>
  <c r="K17" i="84"/>
  <c r="N17" i="84"/>
  <c r="R17" i="84"/>
  <c r="S17" i="84"/>
  <c r="AC17" i="84"/>
  <c r="AI17" i="84"/>
  <c r="K18" i="84"/>
  <c r="N18" i="84"/>
  <c r="R18" i="84"/>
  <c r="S18" i="84"/>
  <c r="AC18" i="84"/>
  <c r="AI18" i="84"/>
  <c r="B20" i="84"/>
  <c r="C20" i="84"/>
  <c r="D20" i="84"/>
  <c r="E20" i="84"/>
  <c r="F20" i="84"/>
  <c r="G20" i="84"/>
  <c r="H20" i="84"/>
  <c r="I20" i="84"/>
  <c r="J20" i="84"/>
  <c r="L20" i="84"/>
  <c r="M20" i="84"/>
  <c r="Q20" i="84"/>
  <c r="T20" i="84"/>
  <c r="U20" i="84"/>
  <c r="V20" i="84"/>
  <c r="W20" i="84"/>
  <c r="X20" i="84"/>
  <c r="Y20" i="84"/>
  <c r="AA20" i="84"/>
  <c r="AB20" i="84"/>
  <c r="AH20" i="84"/>
  <c r="N21" i="84"/>
  <c r="R21" i="84"/>
  <c r="S21" i="84"/>
  <c r="AC21" i="84"/>
  <c r="AI21" i="84"/>
  <c r="N22" i="84"/>
  <c r="R22" i="84"/>
  <c r="S22" i="84"/>
  <c r="AC22" i="84"/>
  <c r="AI22" i="84"/>
  <c r="N23" i="84"/>
  <c r="R23" i="84"/>
  <c r="S23" i="84"/>
  <c r="AC23" i="84"/>
  <c r="AI23" i="84"/>
  <c r="N24" i="84"/>
  <c r="R24" i="84"/>
  <c r="S24" i="84"/>
  <c r="AC24" i="84"/>
  <c r="AI24" i="84"/>
  <c r="N25" i="84"/>
  <c r="Z25" i="84"/>
  <c r="AC25" i="84"/>
  <c r="AI25" i="84"/>
  <c r="B27" i="84"/>
  <c r="C27" i="84"/>
  <c r="D27" i="84"/>
  <c r="E27" i="84"/>
  <c r="F27" i="84"/>
  <c r="G27" i="84"/>
  <c r="H27" i="84"/>
  <c r="I27" i="84"/>
  <c r="J27" i="84"/>
  <c r="L27" i="84"/>
  <c r="M27" i="84"/>
  <c r="Q27" i="84"/>
  <c r="T27" i="84"/>
  <c r="U27" i="84"/>
  <c r="V27" i="84"/>
  <c r="W27" i="84"/>
  <c r="X27" i="84"/>
  <c r="Y27" i="84"/>
  <c r="AA27" i="84"/>
  <c r="AB27" i="84"/>
  <c r="AH27" i="84"/>
  <c r="K28" i="84"/>
  <c r="N28" i="84"/>
  <c r="R28" i="84"/>
  <c r="Z28" i="84" s="1"/>
  <c r="AC28" i="84"/>
  <c r="AI28" i="84"/>
  <c r="K29" i="84"/>
  <c r="N29" i="84"/>
  <c r="R29" i="84"/>
  <c r="S29" i="84"/>
  <c r="AC29" i="84"/>
  <c r="AI29" i="84"/>
  <c r="K30" i="84"/>
  <c r="N30" i="84"/>
  <c r="R30" i="84"/>
  <c r="S30" i="84"/>
  <c r="AC30" i="84"/>
  <c r="AI30" i="84"/>
  <c r="K31" i="84"/>
  <c r="N31" i="84"/>
  <c r="R31" i="84"/>
  <c r="S31" i="84"/>
  <c r="AC31" i="84"/>
  <c r="AI31" i="84"/>
  <c r="K32" i="84"/>
  <c r="N32" i="84"/>
  <c r="R32" i="84"/>
  <c r="S32" i="84"/>
  <c r="AC32" i="84"/>
  <c r="AI32" i="84"/>
  <c r="B34" i="84"/>
  <c r="C34" i="84"/>
  <c r="D34" i="84"/>
  <c r="E34" i="84"/>
  <c r="F34" i="84"/>
  <c r="G34" i="84"/>
  <c r="H34" i="84"/>
  <c r="I34" i="84"/>
  <c r="J34" i="84"/>
  <c r="L34" i="84"/>
  <c r="M34" i="84"/>
  <c r="Q34" i="84"/>
  <c r="T34" i="84"/>
  <c r="U34" i="84"/>
  <c r="V34" i="84"/>
  <c r="W34" i="84"/>
  <c r="X34" i="84"/>
  <c r="Y34" i="84"/>
  <c r="AA34" i="84"/>
  <c r="AB34" i="84"/>
  <c r="AH34" i="84"/>
  <c r="K35" i="84"/>
  <c r="N35" i="84"/>
  <c r="R35" i="84"/>
  <c r="S35" i="84"/>
  <c r="S34" i="84" s="1"/>
  <c r="AC35" i="84"/>
  <c r="AI35" i="84"/>
  <c r="K36" i="84"/>
  <c r="N36" i="84"/>
  <c r="Z36" i="84"/>
  <c r="AC36" i="84"/>
  <c r="K37" i="84"/>
  <c r="N37" i="84"/>
  <c r="Z37" i="84"/>
  <c r="AC37" i="84"/>
  <c r="AI37" i="84"/>
  <c r="K40" i="84"/>
  <c r="K39" i="84" s="1"/>
  <c r="N40" i="84"/>
  <c r="N39" i="84" s="1"/>
  <c r="Z40" i="84"/>
  <c r="Z39" i="84" s="1"/>
  <c r="AC40" i="84"/>
  <c r="AC39" i="84" s="1"/>
  <c r="AI40" i="84"/>
  <c r="AI39" i="84" s="1"/>
  <c r="B74" i="84"/>
  <c r="C74" i="84"/>
  <c r="D74" i="84"/>
  <c r="E74" i="84"/>
  <c r="F74" i="84"/>
  <c r="G74" i="84"/>
  <c r="H74" i="84"/>
  <c r="I74" i="84"/>
  <c r="J74" i="84"/>
  <c r="L74" i="84"/>
  <c r="M74" i="84"/>
  <c r="O74" i="84"/>
  <c r="Q74" i="84"/>
  <c r="R74" i="84"/>
  <c r="S74" i="84"/>
  <c r="T74" i="84"/>
  <c r="U74" i="84"/>
  <c r="V74" i="84"/>
  <c r="W74" i="84"/>
  <c r="X74" i="84"/>
  <c r="Y74" i="84"/>
  <c r="Z74" i="84"/>
  <c r="AA74" i="84"/>
  <c r="AB74" i="84"/>
  <c r="AC74" i="84"/>
  <c r="AD74" i="84"/>
  <c r="AE74" i="84"/>
  <c r="AH74" i="84"/>
  <c r="AI74" i="84"/>
  <c r="K75" i="84"/>
  <c r="N75" i="84"/>
  <c r="P75" i="84"/>
  <c r="AF75" i="84"/>
  <c r="K76" i="84"/>
  <c r="N76" i="84"/>
  <c r="P76" i="84"/>
  <c r="AG76" i="84" s="1"/>
  <c r="AF76" i="84"/>
  <c r="B78" i="84"/>
  <c r="C78" i="84"/>
  <c r="D78" i="84"/>
  <c r="E78" i="84"/>
  <c r="F78" i="84"/>
  <c r="G78" i="84"/>
  <c r="H78" i="84"/>
  <c r="I78" i="84"/>
  <c r="J78" i="84"/>
  <c r="L78" i="84"/>
  <c r="M78" i="84"/>
  <c r="O78" i="84"/>
  <c r="Q78" i="84"/>
  <c r="R78" i="84"/>
  <c r="S78" i="84"/>
  <c r="T78" i="84"/>
  <c r="U78" i="84"/>
  <c r="V78" i="84"/>
  <c r="W78" i="84"/>
  <c r="X78" i="84"/>
  <c r="Y78" i="84"/>
  <c r="Z78" i="84"/>
  <c r="AA78" i="84"/>
  <c r="AB78" i="84"/>
  <c r="AC78" i="84"/>
  <c r="AD78" i="84"/>
  <c r="AE78" i="84"/>
  <c r="AH78" i="84"/>
  <c r="AI78" i="84"/>
  <c r="K79" i="84"/>
  <c r="N79" i="84"/>
  <c r="P79" i="84"/>
  <c r="AG79" i="84" s="1"/>
  <c r="AF79" i="84"/>
  <c r="K80" i="84"/>
  <c r="N80" i="84"/>
  <c r="P80" i="84"/>
  <c r="AG80" i="84" s="1"/>
  <c r="AF80" i="84"/>
  <c r="K81" i="84"/>
  <c r="N81" i="84"/>
  <c r="P81" i="84"/>
  <c r="AG81" i="84" s="1"/>
  <c r="AF81" i="84"/>
  <c r="K82" i="84"/>
  <c r="N82" i="84"/>
  <c r="P82" i="84"/>
  <c r="AG82" i="84" s="1"/>
  <c r="AF82" i="84"/>
  <c r="B84" i="84"/>
  <c r="C84" i="84"/>
  <c r="D84" i="84"/>
  <c r="E84" i="84"/>
  <c r="F84" i="84"/>
  <c r="G84" i="84"/>
  <c r="H84" i="84"/>
  <c r="I84" i="84"/>
  <c r="J84" i="84"/>
  <c r="L84" i="84"/>
  <c r="M84" i="84"/>
  <c r="O84" i="84"/>
  <c r="Q84" i="84"/>
  <c r="R84" i="84"/>
  <c r="S84" i="84"/>
  <c r="T84" i="84"/>
  <c r="U84" i="84"/>
  <c r="V84" i="84"/>
  <c r="W84" i="84"/>
  <c r="X84" i="84"/>
  <c r="Y84" i="84"/>
  <c r="Z84" i="84"/>
  <c r="AA84" i="84"/>
  <c r="AB84" i="84"/>
  <c r="AC84" i="84"/>
  <c r="AD84" i="84"/>
  <c r="AE84" i="84"/>
  <c r="AH84" i="84"/>
  <c r="AI84" i="84"/>
  <c r="K85" i="84"/>
  <c r="K84" i="84" s="1"/>
  <c r="N85" i="84"/>
  <c r="N84" i="84" s="1"/>
  <c r="P85" i="84"/>
  <c r="P84" i="84" s="1"/>
  <c r="AF85" i="84"/>
  <c r="AF84" i="84" s="1"/>
  <c r="B87" i="84"/>
  <c r="C87" i="84"/>
  <c r="D87" i="84"/>
  <c r="E87" i="84"/>
  <c r="F87" i="84"/>
  <c r="G87" i="84"/>
  <c r="H87" i="84"/>
  <c r="I87" i="84"/>
  <c r="J87" i="84"/>
  <c r="L87" i="84"/>
  <c r="M87" i="84"/>
  <c r="O87" i="84"/>
  <c r="Q87" i="84"/>
  <c r="R87" i="84"/>
  <c r="S87" i="84"/>
  <c r="T87" i="84"/>
  <c r="U87" i="84"/>
  <c r="V87" i="84"/>
  <c r="W87" i="84"/>
  <c r="X87" i="84"/>
  <c r="Y87" i="84"/>
  <c r="Z87" i="84"/>
  <c r="AA87" i="84"/>
  <c r="AB87" i="84"/>
  <c r="AC87" i="84"/>
  <c r="AD87" i="84"/>
  <c r="AE87" i="84"/>
  <c r="AH87" i="84"/>
  <c r="AI87" i="84"/>
  <c r="K88" i="84"/>
  <c r="K87" i="84" s="1"/>
  <c r="N88" i="84"/>
  <c r="N87" i="84" s="1"/>
  <c r="P88" i="84"/>
  <c r="P87" i="84" s="1"/>
  <c r="AF88" i="84"/>
  <c r="AF87" i="84" s="1"/>
  <c r="K89" i="84"/>
  <c r="N89" i="84"/>
  <c r="P89" i="84"/>
  <c r="AI127" i="84"/>
  <c r="AI139" i="84"/>
  <c r="AI150" i="84"/>
  <c r="B161" i="84"/>
  <c r="C161" i="84"/>
  <c r="D161" i="84"/>
  <c r="E161" i="84"/>
  <c r="F161" i="84"/>
  <c r="G161" i="84"/>
  <c r="H161" i="84"/>
  <c r="I161" i="84"/>
  <c r="J161" i="84"/>
  <c r="K161" i="84"/>
  <c r="L161" i="84"/>
  <c r="M161" i="84"/>
  <c r="N161" i="84"/>
  <c r="O161" i="84"/>
  <c r="P161" i="84"/>
  <c r="Q161" i="84"/>
  <c r="R161" i="84"/>
  <c r="S161" i="84"/>
  <c r="T161" i="84"/>
  <c r="U161" i="84"/>
  <c r="V161" i="84"/>
  <c r="W161" i="84"/>
  <c r="X161" i="84"/>
  <c r="Y161" i="84"/>
  <c r="Z161" i="84"/>
  <c r="AA161" i="84"/>
  <c r="AB161" i="84"/>
  <c r="AC161" i="84"/>
  <c r="AD161" i="84"/>
  <c r="AE161" i="84"/>
  <c r="AF161" i="84"/>
  <c r="AG161" i="84"/>
  <c r="AH161" i="84"/>
  <c r="N192" i="84"/>
  <c r="Z192" i="84"/>
  <c r="AC192" i="84"/>
  <c r="AF192" i="84"/>
  <c r="AH192" i="84"/>
  <c r="K193" i="84"/>
  <c r="N193" i="84"/>
  <c r="Z193" i="84"/>
  <c r="AC193" i="84"/>
  <c r="AF193" i="84"/>
  <c r="AH193" i="84"/>
  <c r="K194" i="84"/>
  <c r="L194" i="84" s="1"/>
  <c r="L191" i="84" s="1"/>
  <c r="Z194" i="84"/>
  <c r="AC194" i="84"/>
  <c r="AF194" i="84"/>
  <c r="AH194" i="84"/>
  <c r="K195" i="84"/>
  <c r="N195" i="84"/>
  <c r="Z195" i="84"/>
  <c r="AC195" i="84"/>
  <c r="AF195" i="84"/>
  <c r="AH195" i="84"/>
  <c r="K196" i="84"/>
  <c r="N196" i="84"/>
  <c r="Z196" i="84"/>
  <c r="AC196" i="84"/>
  <c r="AF196" i="84"/>
  <c r="AH196" i="84"/>
  <c r="K199" i="84"/>
  <c r="N199" i="84"/>
  <c r="Z199" i="84"/>
  <c r="AC199" i="84"/>
  <c r="AF199" i="84"/>
  <c r="AH199" i="84"/>
  <c r="K200" i="84"/>
  <c r="N200" i="84"/>
  <c r="Z200" i="84"/>
  <c r="AC200" i="84"/>
  <c r="AF200" i="84"/>
  <c r="AH200" i="84"/>
  <c r="K201" i="84"/>
  <c r="N201" i="84"/>
  <c r="Z201" i="84"/>
  <c r="AC201" i="84"/>
  <c r="AF201" i="84"/>
  <c r="AH201" i="84"/>
  <c r="K202" i="84"/>
  <c r="N202" i="84"/>
  <c r="Z202" i="84"/>
  <c r="AC202" i="84"/>
  <c r="AF202" i="84"/>
  <c r="AH202" i="84"/>
  <c r="K205" i="84"/>
  <c r="N205" i="84"/>
  <c r="Z205" i="84"/>
  <c r="Z204" i="84" s="1"/>
  <c r="AC205" i="84"/>
  <c r="AF205" i="84"/>
  <c r="AH205" i="84"/>
  <c r="K206" i="84"/>
  <c r="N206" i="84"/>
  <c r="Z206" i="84"/>
  <c r="AC206" i="84"/>
  <c r="AF206" i="84"/>
  <c r="AH206" i="84"/>
  <c r="K207" i="84"/>
  <c r="N207" i="84"/>
  <c r="Z207" i="84"/>
  <c r="AC207" i="84"/>
  <c r="AF207" i="84"/>
  <c r="AH207" i="84"/>
  <c r="K208" i="84"/>
  <c r="N208" i="84"/>
  <c r="Z208" i="84"/>
  <c r="AC208" i="84"/>
  <c r="AF208" i="84"/>
  <c r="AH208" i="84"/>
  <c r="K209" i="84"/>
  <c r="L209" i="84" s="1"/>
  <c r="N209" i="84" s="1"/>
  <c r="O209" i="84" s="1"/>
  <c r="P209" i="84" s="1"/>
  <c r="Z209" i="84"/>
  <c r="AC209" i="84"/>
  <c r="AF209" i="84"/>
  <c r="AH209" i="84"/>
  <c r="K212" i="84"/>
  <c r="K211" i="84" s="1"/>
  <c r="N212" i="84"/>
  <c r="N211" i="84" s="1"/>
  <c r="Z212" i="84"/>
  <c r="Z211" i="84" s="1"/>
  <c r="AC212" i="84"/>
  <c r="AC211" i="84" s="1"/>
  <c r="AF212" i="84"/>
  <c r="AF211" i="84" s="1"/>
  <c r="AH212" i="84"/>
  <c r="AH211" i="84" s="1"/>
  <c r="M214" i="84"/>
  <c r="R214" i="84"/>
  <c r="K198" i="84" l="1"/>
  <c r="K214" i="84" s="1"/>
  <c r="AH191" i="84"/>
  <c r="I120" i="85"/>
  <c r="AB214" i="84"/>
  <c r="J28" i="85"/>
  <c r="I28" i="85"/>
  <c r="G16" i="85"/>
  <c r="G38" i="85" s="1"/>
  <c r="H6" i="85" s="1"/>
  <c r="G33" i="85"/>
  <c r="J12" i="85"/>
  <c r="I12" i="85"/>
  <c r="G120" i="85"/>
  <c r="G25" i="85"/>
  <c r="H32" i="85"/>
  <c r="G161" i="85"/>
  <c r="N198" i="84"/>
  <c r="AH204" i="84"/>
  <c r="AF191" i="84"/>
  <c r="AC191" i="84"/>
  <c r="Q214" i="84"/>
  <c r="K204" i="84"/>
  <c r="N204" i="84"/>
  <c r="AH198" i="84"/>
  <c r="AF204" i="84"/>
  <c r="AF198" i="84"/>
  <c r="AF214" i="84" s="1"/>
  <c r="AC204" i="84"/>
  <c r="AC198" i="84"/>
  <c r="Z191" i="84"/>
  <c r="K191" i="84"/>
  <c r="Z198" i="84"/>
  <c r="Z214" i="84" s="1"/>
  <c r="L204" i="84"/>
  <c r="L214" i="84" s="1"/>
  <c r="C214" i="84"/>
  <c r="AA214" i="84"/>
  <c r="I22" i="85"/>
  <c r="I38" i="85" s="1"/>
  <c r="J22" i="85"/>
  <c r="I31" i="85"/>
  <c r="J31" i="85"/>
  <c r="B38" i="85"/>
  <c r="H38" i="85" s="1"/>
  <c r="F38" i="85"/>
  <c r="J38" i="85" s="1"/>
  <c r="G28" i="85"/>
  <c r="J120" i="85"/>
  <c r="B214" i="84"/>
  <c r="O32" i="84"/>
  <c r="P32" i="84" s="1"/>
  <c r="O208" i="84"/>
  <c r="P208" i="84" s="1"/>
  <c r="O200" i="84"/>
  <c r="P200" i="84" s="1"/>
  <c r="P74" i="84"/>
  <c r="K74" i="84"/>
  <c r="O205" i="84"/>
  <c r="Z31" i="84"/>
  <c r="AD31" i="84" s="1"/>
  <c r="AE31" i="84" s="1"/>
  <c r="O18" i="84"/>
  <c r="P18" i="84" s="1"/>
  <c r="G11" i="84"/>
  <c r="G42" i="84" s="1"/>
  <c r="Z18" i="84"/>
  <c r="AD18" i="84" s="1"/>
  <c r="O36" i="84"/>
  <c r="P36" i="84" s="1"/>
  <c r="AG75" i="84"/>
  <c r="AG74" i="84" s="1"/>
  <c r="Z29" i="84"/>
  <c r="AD29" i="84" s="1"/>
  <c r="AG85" i="84"/>
  <c r="AG84" i="84" s="1"/>
  <c r="AI34" i="84"/>
  <c r="AI20" i="84"/>
  <c r="O25" i="84"/>
  <c r="P25" i="84" s="1"/>
  <c r="O193" i="84"/>
  <c r="P193" i="84" s="1"/>
  <c r="O195" i="84"/>
  <c r="P195" i="84" s="1"/>
  <c r="O24" i="84"/>
  <c r="P24" i="84" s="1"/>
  <c r="AD36" i="84"/>
  <c r="AE36" i="84" s="1"/>
  <c r="Z17" i="84"/>
  <c r="AD17" i="84" s="1"/>
  <c r="AE17" i="84" s="1"/>
  <c r="O15" i="84"/>
  <c r="P15" i="84" s="1"/>
  <c r="O196" i="84"/>
  <c r="P196" i="84" s="1"/>
  <c r="O30" i="84"/>
  <c r="P30" i="84" s="1"/>
  <c r="Z23" i="84"/>
  <c r="AD23" i="84" s="1"/>
  <c r="AE23" i="84" s="1"/>
  <c r="Z21" i="84"/>
  <c r="AD21" i="84" s="1"/>
  <c r="AE21" i="84" s="1"/>
  <c r="O17" i="84"/>
  <c r="P17" i="84" s="1"/>
  <c r="O23" i="84"/>
  <c r="P23" i="84" s="1"/>
  <c r="R91" i="84"/>
  <c r="O207" i="84"/>
  <c r="P207" i="84" s="1"/>
  <c r="O37" i="84"/>
  <c r="P37" i="84" s="1"/>
  <c r="O31" i="84"/>
  <c r="P31" i="84" s="1"/>
  <c r="Z24" i="84"/>
  <c r="AD24" i="84" s="1"/>
  <c r="AE24" i="84" s="1"/>
  <c r="O201" i="84"/>
  <c r="P201" i="84" s="1"/>
  <c r="AI161" i="84"/>
  <c r="Z32" i="84"/>
  <c r="AD32" i="84" s="1"/>
  <c r="AE32" i="84" s="1"/>
  <c r="AI27" i="84"/>
  <c r="O16" i="84"/>
  <c r="P16" i="84" s="1"/>
  <c r="I11" i="84"/>
  <c r="I42" i="84" s="1"/>
  <c r="F91" i="84"/>
  <c r="O192" i="84"/>
  <c r="AH91" i="84"/>
  <c r="AD193" i="84"/>
  <c r="AE193" i="84" s="1"/>
  <c r="AD91" i="84"/>
  <c r="S20" i="84"/>
  <c r="N13" i="84"/>
  <c r="M91" i="84"/>
  <c r="O212" i="84"/>
  <c r="O199" i="84"/>
  <c r="Y91" i="84"/>
  <c r="O206" i="84"/>
  <c r="P206" i="84" s="1"/>
  <c r="AD25" i="84"/>
  <c r="AE25" i="84" s="1"/>
  <c r="O202" i="84"/>
  <c r="P202" i="84" s="1"/>
  <c r="G91" i="84"/>
  <c r="Z35" i="84"/>
  <c r="Z34" i="84" s="1"/>
  <c r="R34" i="84"/>
  <c r="AD16" i="84"/>
  <c r="AD14" i="84"/>
  <c r="AE14" i="84" s="1"/>
  <c r="O14" i="84"/>
  <c r="P14" i="84" s="1"/>
  <c r="N194" i="84"/>
  <c r="AG78" i="84"/>
  <c r="P78" i="84"/>
  <c r="B91" i="84"/>
  <c r="E91" i="84"/>
  <c r="AD37" i="84"/>
  <c r="AE37" i="84" s="1"/>
  <c r="C11" i="84"/>
  <c r="C42" i="84" s="1"/>
  <c r="N20" i="84"/>
  <c r="K13" i="84"/>
  <c r="M11" i="84"/>
  <c r="M42" i="84" s="1"/>
  <c r="N78" i="84"/>
  <c r="D91" i="84"/>
  <c r="AC34" i="84"/>
  <c r="K27" i="84"/>
  <c r="R27" i="84"/>
  <c r="AD28" i="84"/>
  <c r="AE28" i="84" s="1"/>
  <c r="O21" i="84"/>
  <c r="P21" i="84" s="1"/>
  <c r="R13" i="84"/>
  <c r="AD15" i="84"/>
  <c r="AH11" i="84"/>
  <c r="AH42" i="84" s="1"/>
  <c r="AD209" i="84"/>
  <c r="AE209" i="84" s="1"/>
  <c r="AI209" i="84" s="1"/>
  <c r="AD206" i="84"/>
  <c r="AE206" i="84" s="1"/>
  <c r="AD201" i="84"/>
  <c r="AE201" i="84" s="1"/>
  <c r="AD196" i="84"/>
  <c r="AE196" i="84" s="1"/>
  <c r="AI196" i="84" s="1"/>
  <c r="Z91" i="84"/>
  <c r="AC91" i="84"/>
  <c r="Q91" i="84"/>
  <c r="C91" i="84"/>
  <c r="Q11" i="84"/>
  <c r="Q42" i="84" s="1"/>
  <c r="L11" i="84"/>
  <c r="L42" i="84" s="1"/>
  <c r="AB11" i="84"/>
  <c r="AB42" i="84" s="1"/>
  <c r="J11" i="84"/>
  <c r="J42" i="84" s="1"/>
  <c r="N27" i="84"/>
  <c r="K20" i="84"/>
  <c r="W91" i="84"/>
  <c r="AA91" i="84"/>
  <c r="O91" i="84"/>
  <c r="O28" i="84"/>
  <c r="Y11" i="84"/>
  <c r="Y42" i="84" s="1"/>
  <c r="H11" i="84"/>
  <c r="H42" i="84" s="1"/>
  <c r="K78" i="84"/>
  <c r="N34" i="84"/>
  <c r="AD207" i="84"/>
  <c r="AE207" i="84" s="1"/>
  <c r="AI207" i="84" s="1"/>
  <c r="AD194" i="84"/>
  <c r="AE194" i="84" s="1"/>
  <c r="AI194" i="84" s="1"/>
  <c r="AF74" i="84"/>
  <c r="AD40" i="84"/>
  <c r="AD39" i="84" s="1"/>
  <c r="K34" i="84"/>
  <c r="W11" i="84"/>
  <c r="W42" i="84" s="1"/>
  <c r="AD212" i="84"/>
  <c r="U91" i="84"/>
  <c r="X91" i="84"/>
  <c r="J91" i="84"/>
  <c r="AA11" i="84"/>
  <c r="AA42" i="84" s="1"/>
  <c r="X11" i="84"/>
  <c r="X42" i="84" s="1"/>
  <c r="AI13" i="84"/>
  <c r="V11" i="84"/>
  <c r="V42" i="84" s="1"/>
  <c r="AB91" i="84"/>
  <c r="I91" i="84"/>
  <c r="AD202" i="84"/>
  <c r="AE202" i="84" s="1"/>
  <c r="AI202" i="84" s="1"/>
  <c r="AD199" i="84"/>
  <c r="AI91" i="84"/>
  <c r="H91" i="84"/>
  <c r="L91" i="84"/>
  <c r="O22" i="84"/>
  <c r="P22" i="84" s="1"/>
  <c r="AE91" i="84"/>
  <c r="S91" i="84"/>
  <c r="T91" i="84"/>
  <c r="N74" i="84"/>
  <c r="AC20" i="84"/>
  <c r="F11" i="84"/>
  <c r="F42" i="84" s="1"/>
  <c r="AC13" i="84"/>
  <c r="U11" i="84"/>
  <c r="U42" i="84" s="1"/>
  <c r="D11" i="84"/>
  <c r="D42" i="84" s="1"/>
  <c r="AF78" i="84"/>
  <c r="V91" i="84"/>
  <c r="T11" i="84"/>
  <c r="T42" i="84" s="1"/>
  <c r="AD208" i="84"/>
  <c r="AE208" i="84" s="1"/>
  <c r="AI208" i="84" s="1"/>
  <c r="AD205" i="84"/>
  <c r="AD200" i="84"/>
  <c r="AE200" i="84" s="1"/>
  <c r="AI200" i="84" s="1"/>
  <c r="AD195" i="84"/>
  <c r="AE195" i="84" s="1"/>
  <c r="AI195" i="84" s="1"/>
  <c r="O29" i="84"/>
  <c r="P29" i="84" s="1"/>
  <c r="E11" i="84"/>
  <c r="E42" i="84" s="1"/>
  <c r="B11" i="84"/>
  <c r="B42" i="84" s="1"/>
  <c r="AC27" i="84"/>
  <c r="R20" i="84"/>
  <c r="O35" i="84"/>
  <c r="AG88" i="84"/>
  <c r="AG87" i="84" s="1"/>
  <c r="AD192" i="84"/>
  <c r="O40" i="84"/>
  <c r="O39" i="84" s="1"/>
  <c r="S13" i="84"/>
  <c r="Z30" i="84"/>
  <c r="AD30" i="84" s="1"/>
  <c r="S27" i="84"/>
  <c r="Z22" i="84"/>
  <c r="AD22" i="84" s="1"/>
  <c r="V71" i="60"/>
  <c r="V70" i="60" s="1"/>
  <c r="K71" i="60"/>
  <c r="K70" i="60" s="1"/>
  <c r="W70" i="60"/>
  <c r="U70" i="60"/>
  <c r="T70" i="60"/>
  <c r="S70" i="60"/>
  <c r="R70" i="60"/>
  <c r="Q70" i="60"/>
  <c r="P70" i="60"/>
  <c r="O70" i="60"/>
  <c r="N70" i="60"/>
  <c r="M70" i="60"/>
  <c r="L70" i="60"/>
  <c r="J70" i="60"/>
  <c r="I70" i="60"/>
  <c r="H70" i="60"/>
  <c r="G70" i="60"/>
  <c r="F70" i="60"/>
  <c r="E70" i="60"/>
  <c r="D70" i="60"/>
  <c r="C70" i="60"/>
  <c r="B70" i="60"/>
  <c r="V35" i="60"/>
  <c r="V38" i="60"/>
  <c r="AC214" i="84" l="1"/>
  <c r="AH214" i="84"/>
  <c r="AD191" i="84"/>
  <c r="AE205" i="84"/>
  <c r="AD204" i="84"/>
  <c r="AE212" i="84"/>
  <c r="AG212" i="84" s="1"/>
  <c r="AG211" i="84" s="1"/>
  <c r="AD211" i="84"/>
  <c r="P192" i="84"/>
  <c r="P205" i="84"/>
  <c r="P204" i="84" s="1"/>
  <c r="O204" i="84"/>
  <c r="AE199" i="84"/>
  <c r="AD198" i="84"/>
  <c r="N214" i="84"/>
  <c r="N191" i="84"/>
  <c r="P199" i="84"/>
  <c r="P198" i="84" s="1"/>
  <c r="O198" i="84"/>
  <c r="P212" i="84"/>
  <c r="P211" i="84" s="1"/>
  <c r="O211" i="84"/>
  <c r="AG32" i="84"/>
  <c r="N91" i="84"/>
  <c r="P91" i="84"/>
  <c r="AG201" i="84"/>
  <c r="AG206" i="84"/>
  <c r="AF14" i="84"/>
  <c r="AI206" i="84"/>
  <c r="K91" i="84"/>
  <c r="O194" i="84"/>
  <c r="P194" i="84" s="1"/>
  <c r="O27" i="84"/>
  <c r="AG25" i="84"/>
  <c r="AG23" i="84"/>
  <c r="AF23" i="84"/>
  <c r="P13" i="84"/>
  <c r="N11" i="84"/>
  <c r="N42" i="84" s="1"/>
  <c r="AF18" i="84"/>
  <c r="AG36" i="84"/>
  <c r="AG202" i="84"/>
  <c r="Z13" i="84"/>
  <c r="P28" i="84"/>
  <c r="P27" i="84" s="1"/>
  <c r="AI11" i="84"/>
  <c r="AI42" i="84" s="1"/>
  <c r="O13" i="84"/>
  <c r="AD13" i="84"/>
  <c r="AF36" i="84"/>
  <c r="AF21" i="84"/>
  <c r="AF28" i="84"/>
  <c r="AF29" i="84"/>
  <c r="AF15" i="84"/>
  <c r="AF17" i="84"/>
  <c r="AF25" i="84"/>
  <c r="AI201" i="84"/>
  <c r="AG17" i="84"/>
  <c r="AF16" i="84"/>
  <c r="AE18" i="84"/>
  <c r="AG18" i="84" s="1"/>
  <c r="AG24" i="84"/>
  <c r="AF24" i="84"/>
  <c r="AG31" i="84"/>
  <c r="AG193" i="84"/>
  <c r="AF31" i="84"/>
  <c r="AG37" i="84"/>
  <c r="AD35" i="84"/>
  <c r="AD34" i="84" s="1"/>
  <c r="AG200" i="84"/>
  <c r="AF37" i="84"/>
  <c r="AF40" i="84"/>
  <c r="AF39" i="84" s="1"/>
  <c r="AG208" i="84"/>
  <c r="AG196" i="84"/>
  <c r="AE16" i="84"/>
  <c r="AG16" i="84" s="1"/>
  <c r="AG207" i="84"/>
  <c r="K11" i="84"/>
  <c r="K42" i="84" s="1"/>
  <c r="AF91" i="84"/>
  <c r="AI193" i="84"/>
  <c r="AE40" i="84"/>
  <c r="AE39" i="84" s="1"/>
  <c r="P20" i="84"/>
  <c r="AE29" i="84"/>
  <c r="AG29" i="84" s="1"/>
  <c r="AF32" i="84"/>
  <c r="AE15" i="84"/>
  <c r="AG15" i="84" s="1"/>
  <c r="R11" i="84"/>
  <c r="R42" i="84" s="1"/>
  <c r="O20" i="84"/>
  <c r="AC11" i="84"/>
  <c r="AC42" i="84" s="1"/>
  <c r="AG195" i="84"/>
  <c r="AG209" i="84"/>
  <c r="AD27" i="84"/>
  <c r="AG91" i="84"/>
  <c r="O34" i="84"/>
  <c r="P35" i="84"/>
  <c r="P34" i="84" s="1"/>
  <c r="P40" i="84"/>
  <c r="P39" i="84" s="1"/>
  <c r="AD214" i="84"/>
  <c r="AE192" i="84"/>
  <c r="AE191" i="84" s="1"/>
  <c r="AG14" i="84"/>
  <c r="AE22" i="84"/>
  <c r="AG22" i="84" s="1"/>
  <c r="AF22" i="84"/>
  <c r="Z27" i="84"/>
  <c r="AD20" i="84"/>
  <c r="AF30" i="84"/>
  <c r="AE30" i="84"/>
  <c r="AG30" i="84" s="1"/>
  <c r="S11" i="84"/>
  <c r="S42" i="84" s="1"/>
  <c r="AG21" i="84"/>
  <c r="Z20" i="84"/>
  <c r="U37" i="60"/>
  <c r="V37" i="60"/>
  <c r="W37" i="60"/>
  <c r="W34" i="60"/>
  <c r="K38" i="60"/>
  <c r="K37" i="60" s="1"/>
  <c r="T37" i="60"/>
  <c r="S37" i="60"/>
  <c r="R37" i="60"/>
  <c r="Q37" i="60"/>
  <c r="P37" i="60"/>
  <c r="O37" i="60"/>
  <c r="N37" i="60"/>
  <c r="M37" i="60"/>
  <c r="L37" i="60"/>
  <c r="J37" i="60"/>
  <c r="I37" i="60"/>
  <c r="H37" i="60"/>
  <c r="G37" i="60"/>
  <c r="F37" i="60"/>
  <c r="E37" i="60"/>
  <c r="D37" i="60"/>
  <c r="C37" i="60"/>
  <c r="B37" i="60"/>
  <c r="V34" i="60"/>
  <c r="R34" i="60"/>
  <c r="S34" i="60"/>
  <c r="T34" i="60"/>
  <c r="U34" i="60"/>
  <c r="Q34" i="60"/>
  <c r="P34" i="60"/>
  <c r="O34" i="60"/>
  <c r="N34" i="60"/>
  <c r="M34" i="60"/>
  <c r="L34" i="60"/>
  <c r="K35" i="60"/>
  <c r="K34" i="60" s="1"/>
  <c r="D34" i="60"/>
  <c r="E34" i="60"/>
  <c r="F34" i="60"/>
  <c r="G34" i="60"/>
  <c r="H34" i="60"/>
  <c r="I34" i="60"/>
  <c r="J34" i="60"/>
  <c r="C34" i="60"/>
  <c r="B34" i="60"/>
  <c r="V32" i="60"/>
  <c r="V31" i="60"/>
  <c r="K32" i="60"/>
  <c r="K31" i="60"/>
  <c r="W30" i="60"/>
  <c r="U30" i="60"/>
  <c r="T30" i="60"/>
  <c r="S30" i="60"/>
  <c r="R30" i="60"/>
  <c r="Q30" i="60"/>
  <c r="P30" i="60"/>
  <c r="O30" i="60"/>
  <c r="N30" i="60"/>
  <c r="M30" i="60"/>
  <c r="L30" i="60"/>
  <c r="J30" i="60"/>
  <c r="I30" i="60"/>
  <c r="H30" i="60"/>
  <c r="G30" i="60"/>
  <c r="F30" i="60"/>
  <c r="E30" i="60"/>
  <c r="D30" i="60"/>
  <c r="C30" i="60"/>
  <c r="B30" i="60"/>
  <c r="V28" i="60"/>
  <c r="V27" i="60"/>
  <c r="V26" i="60"/>
  <c r="V25" i="60"/>
  <c r="V24" i="60"/>
  <c r="W23" i="60"/>
  <c r="U23" i="60"/>
  <c r="T23" i="60"/>
  <c r="S23" i="60"/>
  <c r="R23" i="60"/>
  <c r="Q23" i="60"/>
  <c r="P23" i="60"/>
  <c r="O23" i="60"/>
  <c r="N23" i="60"/>
  <c r="M23" i="60"/>
  <c r="L23" i="60"/>
  <c r="J23" i="60"/>
  <c r="I23" i="60"/>
  <c r="H23" i="60"/>
  <c r="G23" i="60"/>
  <c r="F23" i="60"/>
  <c r="E23" i="60"/>
  <c r="D23" i="60"/>
  <c r="C23" i="60"/>
  <c r="B23" i="60"/>
  <c r="K28" i="60"/>
  <c r="K27" i="60"/>
  <c r="K26" i="60"/>
  <c r="K25" i="60"/>
  <c r="K24" i="60"/>
  <c r="V21" i="60"/>
  <c r="V20" i="60"/>
  <c r="V19" i="60"/>
  <c r="V18" i="60"/>
  <c r="V17" i="60"/>
  <c r="V14" i="60"/>
  <c r="V13" i="60"/>
  <c r="V12" i="60"/>
  <c r="V11" i="60"/>
  <c r="V10" i="60"/>
  <c r="V9" i="60"/>
  <c r="K21" i="60"/>
  <c r="K20" i="60"/>
  <c r="K19" i="60"/>
  <c r="K18" i="60"/>
  <c r="K17" i="60"/>
  <c r="K14" i="60"/>
  <c r="K13" i="60"/>
  <c r="K12" i="60"/>
  <c r="K11" i="60"/>
  <c r="K10" i="60"/>
  <c r="K9" i="60"/>
  <c r="W16" i="60"/>
  <c r="U16" i="60"/>
  <c r="T16" i="60"/>
  <c r="S16" i="60"/>
  <c r="R16" i="60"/>
  <c r="Q16" i="60"/>
  <c r="P16" i="60"/>
  <c r="O16" i="60"/>
  <c r="N16" i="60"/>
  <c r="M16" i="60"/>
  <c r="L16" i="60"/>
  <c r="J16" i="60"/>
  <c r="I16" i="60"/>
  <c r="H16" i="60"/>
  <c r="G16" i="60"/>
  <c r="F16" i="60"/>
  <c r="E16" i="60"/>
  <c r="D16" i="60"/>
  <c r="C16" i="60"/>
  <c r="B16" i="60"/>
  <c r="W8" i="60"/>
  <c r="U8" i="60"/>
  <c r="T8" i="60"/>
  <c r="S8" i="60"/>
  <c r="R8" i="60"/>
  <c r="Q8" i="60"/>
  <c r="P8" i="60"/>
  <c r="O8" i="60"/>
  <c r="N8" i="60"/>
  <c r="M8" i="60"/>
  <c r="L8" i="60"/>
  <c r="J8" i="60"/>
  <c r="I8" i="60"/>
  <c r="H8" i="60"/>
  <c r="G8" i="60"/>
  <c r="F8" i="60"/>
  <c r="E8" i="60"/>
  <c r="D8" i="60"/>
  <c r="C8" i="60"/>
  <c r="B8" i="60"/>
  <c r="P214" i="84" l="1"/>
  <c r="AI205" i="84"/>
  <c r="AI204" i="84" s="1"/>
  <c r="AE204" i="84"/>
  <c r="P191" i="84"/>
  <c r="AI212" i="84"/>
  <c r="AI211" i="84" s="1"/>
  <c r="AE211" i="84"/>
  <c r="AI199" i="84"/>
  <c r="AI198" i="84" s="1"/>
  <c r="AE198" i="84"/>
  <c r="AE214" i="84" s="1"/>
  <c r="AG199" i="84"/>
  <c r="AG198" i="84" s="1"/>
  <c r="AG205" i="84"/>
  <c r="AG204" i="84" s="1"/>
  <c r="O191" i="84"/>
  <c r="AE35" i="84"/>
  <c r="AE34" i="84" s="1"/>
  <c r="AG194" i="84"/>
  <c r="O214" i="84"/>
  <c r="AF35" i="84"/>
  <c r="AF34" i="84" s="1"/>
  <c r="AG28" i="84"/>
  <c r="AG27" i="84" s="1"/>
  <c r="Z11" i="84"/>
  <c r="Z42" i="84" s="1"/>
  <c r="AF13" i="84"/>
  <c r="AF20" i="84"/>
  <c r="AD11" i="84"/>
  <c r="AD42" i="84" s="1"/>
  <c r="P11" i="84"/>
  <c r="P42" i="84" s="1"/>
  <c r="AE20" i="84"/>
  <c r="AE27" i="84"/>
  <c r="O11" i="84"/>
  <c r="O42" i="84" s="1"/>
  <c r="AG20" i="84"/>
  <c r="AE13" i="84"/>
  <c r="AF27" i="84"/>
  <c r="AG40" i="84"/>
  <c r="AG39" i="84" s="1"/>
  <c r="AG13" i="84"/>
  <c r="AG192" i="84"/>
  <c r="AG191" i="84" s="1"/>
  <c r="AI192" i="84"/>
  <c r="E40" i="60"/>
  <c r="G40" i="60"/>
  <c r="R40" i="60"/>
  <c r="F40" i="60"/>
  <c r="S40" i="60"/>
  <c r="T40" i="60"/>
  <c r="U40" i="60"/>
  <c r="H40" i="60"/>
  <c r="I40" i="60"/>
  <c r="W40" i="60"/>
  <c r="J40" i="60"/>
  <c r="M40" i="60"/>
  <c r="N40" i="60"/>
  <c r="B40" i="60"/>
  <c r="P40" i="60"/>
  <c r="O40" i="60"/>
  <c r="C40" i="60"/>
  <c r="D40" i="60"/>
  <c r="Q40" i="60"/>
  <c r="L40" i="60"/>
  <c r="K23" i="60"/>
  <c r="K30" i="60"/>
  <c r="V30" i="60"/>
  <c r="V23" i="60"/>
  <c r="K16" i="60"/>
  <c r="V16" i="60"/>
  <c r="V8" i="60"/>
  <c r="K8" i="60"/>
  <c r="AI214" i="84" l="1"/>
  <c r="AI191" i="84"/>
  <c r="AG35" i="84"/>
  <c r="AG34" i="84" s="1"/>
  <c r="AG11" i="84" s="1"/>
  <c r="AG42" i="84" s="1"/>
  <c r="AG214" i="84"/>
  <c r="AF11" i="84"/>
  <c r="AF42" i="84" s="1"/>
  <c r="AE11" i="84"/>
  <c r="AE42" i="84" s="1"/>
  <c r="V40" i="60"/>
  <c r="K40" i="60"/>
  <c r="V145" i="60" l="1"/>
  <c r="P151" i="60"/>
  <c r="O151" i="60"/>
  <c r="N151" i="60"/>
  <c r="W151" i="60"/>
  <c r="U151" i="60"/>
  <c r="T151" i="60"/>
  <c r="S151" i="60"/>
  <c r="R151" i="60"/>
  <c r="Q151" i="60"/>
  <c r="M151" i="60"/>
  <c r="L151" i="60"/>
  <c r="J151" i="60"/>
  <c r="I151" i="60"/>
  <c r="H151" i="60"/>
  <c r="G151" i="60"/>
  <c r="F151" i="60"/>
  <c r="E151" i="60"/>
  <c r="D151" i="60"/>
  <c r="C151" i="60"/>
  <c r="L134" i="60"/>
  <c r="C143" i="60"/>
  <c r="W134" i="60"/>
  <c r="U134" i="60"/>
  <c r="T134" i="60"/>
  <c r="S134" i="60"/>
  <c r="R134" i="60"/>
  <c r="Q134" i="60"/>
  <c r="P134" i="60"/>
  <c r="O134" i="60"/>
  <c r="N134" i="60"/>
  <c r="M134" i="60"/>
  <c r="J134" i="60"/>
  <c r="I134" i="60"/>
  <c r="H134" i="60"/>
  <c r="G134" i="60"/>
  <c r="F134" i="60"/>
  <c r="E134" i="60"/>
  <c r="D134" i="60"/>
  <c r="C134" i="60"/>
  <c r="W159" i="60"/>
  <c r="V159" i="60"/>
  <c r="U159" i="60"/>
  <c r="T159" i="60"/>
  <c r="S159" i="60"/>
  <c r="R159" i="60"/>
  <c r="Q159" i="60"/>
  <c r="P159" i="60"/>
  <c r="O159" i="60"/>
  <c r="N159" i="60"/>
  <c r="M159" i="60"/>
  <c r="L159" i="60"/>
  <c r="J159" i="60"/>
  <c r="I159" i="60"/>
  <c r="H159" i="60"/>
  <c r="G159" i="60"/>
  <c r="F159" i="60"/>
  <c r="E159" i="60"/>
  <c r="D159" i="60"/>
  <c r="C159" i="60"/>
  <c r="U143" i="60"/>
  <c r="T143" i="60"/>
  <c r="S143" i="60"/>
  <c r="R143" i="60"/>
  <c r="Q143" i="60"/>
  <c r="P143" i="60"/>
  <c r="O143" i="60"/>
  <c r="N143" i="60"/>
  <c r="M143" i="60"/>
  <c r="J143" i="60"/>
  <c r="I143" i="60"/>
  <c r="H143" i="60"/>
  <c r="G143" i="60"/>
  <c r="F143" i="60"/>
  <c r="E143" i="60"/>
  <c r="D143" i="60"/>
  <c r="K160" i="60"/>
  <c r="K159" i="60" s="1"/>
  <c r="V157" i="60"/>
  <c r="K157" i="60"/>
  <c r="V156" i="60"/>
  <c r="K156" i="60"/>
  <c r="V155" i="60"/>
  <c r="K155" i="60"/>
  <c r="V154" i="60"/>
  <c r="K154" i="60"/>
  <c r="V153" i="60"/>
  <c r="K153" i="60"/>
  <c r="V152" i="60"/>
  <c r="K152" i="60"/>
  <c r="V148" i="60"/>
  <c r="K148" i="60"/>
  <c r="V147" i="60"/>
  <c r="K147" i="60"/>
  <c r="W146" i="60"/>
  <c r="V146" i="60"/>
  <c r="L146" i="60"/>
  <c r="K146" i="60"/>
  <c r="K145" i="60"/>
  <c r="W144" i="60"/>
  <c r="V144" i="60"/>
  <c r="L144" i="60"/>
  <c r="K144" i="60"/>
  <c r="V141" i="60"/>
  <c r="K141" i="60"/>
  <c r="V140" i="60"/>
  <c r="K140" i="60"/>
  <c r="V139" i="60"/>
  <c r="K139" i="60"/>
  <c r="V138" i="60"/>
  <c r="K138" i="60"/>
  <c r="V137" i="60"/>
  <c r="K137" i="60"/>
  <c r="V136" i="60"/>
  <c r="K136" i="60"/>
  <c r="V135" i="60"/>
  <c r="K135" i="60"/>
  <c r="W67" i="60"/>
  <c r="V67" i="60"/>
  <c r="U67" i="60"/>
  <c r="T67" i="60"/>
  <c r="S67" i="60"/>
  <c r="R67" i="60"/>
  <c r="Q67" i="60"/>
  <c r="P67" i="60"/>
  <c r="O67" i="60"/>
  <c r="N67" i="60"/>
  <c r="M67" i="60"/>
  <c r="L67" i="60"/>
  <c r="K67" i="60"/>
  <c r="J67" i="60"/>
  <c r="I67" i="60"/>
  <c r="H67" i="60"/>
  <c r="G67" i="60"/>
  <c r="F67" i="60"/>
  <c r="E67" i="60"/>
  <c r="D67" i="60"/>
  <c r="C67" i="60"/>
  <c r="B67" i="60"/>
  <c r="W64" i="60"/>
  <c r="V64" i="60"/>
  <c r="U64" i="60"/>
  <c r="T64" i="60"/>
  <c r="S64" i="60"/>
  <c r="R64" i="60"/>
  <c r="Q64" i="60"/>
  <c r="P64" i="60"/>
  <c r="O64" i="60"/>
  <c r="N64" i="60"/>
  <c r="M64" i="60"/>
  <c r="L64" i="60"/>
  <c r="K64" i="60"/>
  <c r="J64" i="60"/>
  <c r="I64" i="60"/>
  <c r="H64" i="60"/>
  <c r="G64" i="60"/>
  <c r="F64" i="60"/>
  <c r="E64" i="60"/>
  <c r="D64" i="60"/>
  <c r="C64" i="60"/>
  <c r="B64" i="60"/>
  <c r="W58" i="60"/>
  <c r="V58" i="60"/>
  <c r="U58" i="60"/>
  <c r="T58" i="60"/>
  <c r="S58" i="60"/>
  <c r="R58" i="60"/>
  <c r="Q58" i="60"/>
  <c r="P58" i="60"/>
  <c r="O58" i="60"/>
  <c r="N58" i="60"/>
  <c r="M58" i="60"/>
  <c r="L58" i="60"/>
  <c r="K58" i="60"/>
  <c r="J58" i="60"/>
  <c r="I58" i="60"/>
  <c r="H58" i="60"/>
  <c r="G58" i="60"/>
  <c r="F58" i="60"/>
  <c r="E58" i="60"/>
  <c r="D58" i="60"/>
  <c r="C58" i="60"/>
  <c r="B58" i="60"/>
  <c r="W51" i="60"/>
  <c r="V51" i="60"/>
  <c r="U51" i="60"/>
  <c r="T51" i="60"/>
  <c r="S51" i="60"/>
  <c r="R51" i="60"/>
  <c r="Q51" i="60"/>
  <c r="P51" i="60"/>
  <c r="O51" i="60"/>
  <c r="N51" i="60"/>
  <c r="M51" i="60"/>
  <c r="L51" i="60"/>
  <c r="K51" i="60"/>
  <c r="J51" i="60"/>
  <c r="I51" i="60"/>
  <c r="H51" i="60"/>
  <c r="G51" i="60"/>
  <c r="F51" i="60"/>
  <c r="E51" i="60"/>
  <c r="D51" i="60"/>
  <c r="C51" i="60"/>
  <c r="B51" i="60"/>
  <c r="K73" i="60" l="1"/>
  <c r="W73" i="60"/>
  <c r="L73" i="60"/>
  <c r="M73" i="60"/>
  <c r="B73" i="60"/>
  <c r="N73" i="60"/>
  <c r="C73" i="60"/>
  <c r="O73" i="60"/>
  <c r="D73" i="60"/>
  <c r="P73" i="60"/>
  <c r="E73" i="60"/>
  <c r="R73" i="60"/>
  <c r="G73" i="60"/>
  <c r="T73" i="60"/>
  <c r="I73" i="60"/>
  <c r="U73" i="60"/>
  <c r="Q73" i="60"/>
  <c r="F73" i="60"/>
  <c r="S73" i="60"/>
  <c r="H73" i="60"/>
  <c r="J73" i="60"/>
  <c r="V73" i="60"/>
  <c r="L143" i="60"/>
  <c r="L162" i="60" s="1"/>
  <c r="W143" i="60"/>
  <c r="W162" i="60" s="1"/>
  <c r="V134" i="60"/>
  <c r="K143" i="60"/>
  <c r="K134" i="60"/>
  <c r="K151" i="60"/>
  <c r="V151" i="60"/>
  <c r="U162" i="60"/>
  <c r="M162" i="60"/>
  <c r="F162" i="60"/>
  <c r="G162" i="60"/>
  <c r="S162" i="60"/>
  <c r="R162" i="60"/>
  <c r="H162" i="60"/>
  <c r="V143" i="60"/>
  <c r="J162" i="60"/>
  <c r="D162" i="60"/>
  <c r="Q162" i="60"/>
  <c r="E162" i="60"/>
  <c r="I162" i="60"/>
  <c r="T162" i="60"/>
  <c r="P162" i="60"/>
  <c r="O162" i="60"/>
  <c r="N162" i="60"/>
  <c r="C162" i="60"/>
  <c r="K162" i="60" l="1"/>
  <c r="V162" i="60"/>
  <c r="E136" i="51"/>
  <c r="E209" i="51" l="1"/>
  <c r="E197" i="51" l="1"/>
  <c r="E175" i="51"/>
  <c r="E98" i="51"/>
  <c r="E325" i="51"/>
  <c r="E317" i="51"/>
  <c r="E289" i="51"/>
  <c r="E218" i="51"/>
  <c r="E241" i="51"/>
  <c r="E264" i="51"/>
  <c r="E79" i="51"/>
  <c r="E78" i="51"/>
  <c r="E77" i="51"/>
  <c r="E76" i="51"/>
  <c r="E75" i="51"/>
  <c r="E71" i="51"/>
  <c r="J66" i="51"/>
  <c r="J59" i="51"/>
  <c r="J58" i="51"/>
  <c r="J57" i="51"/>
  <c r="J56" i="51"/>
  <c r="J54" i="51"/>
  <c r="J53" i="51"/>
  <c r="J51" i="51"/>
  <c r="J46" i="51"/>
  <c r="J45" i="51"/>
  <c r="E42" i="51"/>
  <c r="J35" i="51"/>
  <c r="J34" i="51"/>
  <c r="J33" i="51"/>
  <c r="J32" i="51"/>
  <c r="J28" i="51"/>
  <c r="J27" i="51"/>
  <c r="J26" i="51"/>
  <c r="E20" i="51"/>
  <c r="E19" i="51"/>
  <c r="E14" i="51"/>
  <c r="J11" i="51"/>
  <c r="J10" i="51"/>
  <c r="E9" i="51"/>
  <c r="E8" i="51"/>
  <c r="E342" i="51" l="1"/>
  <c r="E285" i="51"/>
  <c r="E7" i="51"/>
  <c r="E215" i="51" s="1"/>
  <c r="M735" i="83"/>
  <c r="P735" i="83"/>
  <c r="M776" i="83"/>
  <c r="P776" i="83"/>
  <c r="M898" i="83"/>
  <c r="P898" i="83"/>
  <c r="M1186" i="83"/>
  <c r="P1186" i="83"/>
  <c r="P1451" i="83" s="1"/>
  <c r="P1452" i="83" s="1"/>
  <c r="M1451" i="83"/>
  <c r="M1452" i="83" s="1"/>
  <c r="M1453" i="83" l="1"/>
  <c r="P1453" i="83"/>
  <c r="E343" i="51"/>
  <c r="N63" i="64"/>
  <c r="M63" i="64"/>
  <c r="N44" i="64"/>
  <c r="M44" i="64"/>
  <c r="N18" i="64"/>
  <c r="M18" i="64"/>
  <c r="G74" i="32"/>
  <c r="E74" i="32"/>
  <c r="C74" i="32"/>
  <c r="H59" i="32"/>
  <c r="I59" i="32"/>
  <c r="H60" i="32"/>
  <c r="I60" i="32"/>
  <c r="H61" i="32"/>
  <c r="I61" i="32"/>
  <c r="H62" i="32"/>
  <c r="I62" i="32"/>
  <c r="H63" i="32"/>
  <c r="I63" i="32"/>
  <c r="H64" i="32"/>
  <c r="I64" i="32"/>
  <c r="H65" i="32"/>
  <c r="I65" i="32"/>
  <c r="H66" i="32"/>
  <c r="I66" i="32"/>
  <c r="H67" i="32"/>
  <c r="I67" i="32"/>
  <c r="H68" i="32"/>
  <c r="I68" i="32"/>
  <c r="H69" i="32"/>
  <c r="I69" i="32"/>
  <c r="H70" i="32"/>
  <c r="I70" i="32"/>
  <c r="H71" i="32"/>
  <c r="I71" i="32"/>
  <c r="H72" i="32"/>
  <c r="I72" i="32"/>
  <c r="H73" i="32"/>
  <c r="I73" i="32"/>
  <c r="I58" i="32"/>
  <c r="H58" i="32"/>
  <c r="G49" i="32"/>
  <c r="E49" i="32"/>
  <c r="C49" i="32"/>
  <c r="I48" i="32"/>
  <c r="H48" i="32"/>
  <c r="I47" i="32"/>
  <c r="H47" i="32"/>
  <c r="I46" i="32"/>
  <c r="H46" i="32"/>
  <c r="I45" i="32"/>
  <c r="H45" i="32"/>
  <c r="I44" i="32"/>
  <c r="H44" i="32"/>
  <c r="I43" i="32"/>
  <c r="H43" i="32"/>
  <c r="I42" i="32"/>
  <c r="H42" i="32"/>
  <c r="I41" i="32"/>
  <c r="H41" i="32"/>
  <c r="I40" i="32"/>
  <c r="H40" i="32"/>
  <c r="I39" i="32"/>
  <c r="H39" i="32"/>
  <c r="I38" i="32"/>
  <c r="H38" i="32"/>
  <c r="I37" i="32"/>
  <c r="H37" i="32"/>
  <c r="I36" i="32"/>
  <c r="H36" i="32"/>
  <c r="I35" i="32"/>
  <c r="H35" i="32"/>
  <c r="I34" i="32"/>
  <c r="H34" i="32"/>
  <c r="I33" i="32"/>
  <c r="H33" i="32"/>
  <c r="I8" i="32"/>
  <c r="I9" i="32"/>
  <c r="I10" i="32"/>
  <c r="I11" i="32"/>
  <c r="I12" i="32"/>
  <c r="I13" i="32"/>
  <c r="I14" i="32"/>
  <c r="I15" i="32"/>
  <c r="I16" i="32"/>
  <c r="I17" i="32"/>
  <c r="I18" i="32"/>
  <c r="I19" i="32"/>
  <c r="I20" i="32"/>
  <c r="I21" i="32"/>
  <c r="I22" i="32"/>
  <c r="I23" i="32"/>
  <c r="I7" i="32"/>
  <c r="H8" i="32"/>
  <c r="H9" i="32"/>
  <c r="H10" i="32"/>
  <c r="H11" i="32"/>
  <c r="H12" i="32"/>
  <c r="H13" i="32"/>
  <c r="H14" i="32"/>
  <c r="H15" i="32"/>
  <c r="H16" i="32"/>
  <c r="H17" i="32"/>
  <c r="H18" i="32"/>
  <c r="H19" i="32"/>
  <c r="H20" i="32"/>
  <c r="H21" i="32"/>
  <c r="H22" i="32"/>
  <c r="H23" i="32"/>
  <c r="H7" i="32"/>
  <c r="G24" i="32"/>
  <c r="E24" i="32"/>
  <c r="C24" i="32"/>
  <c r="E237" i="39"/>
  <c r="F237" i="39"/>
  <c r="D237" i="39"/>
  <c r="D208" i="39"/>
  <c r="D178" i="39"/>
  <c r="D143" i="39"/>
  <c r="D71" i="39"/>
  <c r="D38" i="39"/>
  <c r="E208" i="39"/>
  <c r="F208" i="39"/>
  <c r="E178" i="39"/>
  <c r="F178" i="39"/>
  <c r="E143" i="39"/>
  <c r="F143" i="39"/>
  <c r="E108" i="39"/>
  <c r="F108" i="39"/>
  <c r="E71" i="39"/>
  <c r="F71" i="39"/>
  <c r="E38" i="39"/>
  <c r="F38" i="39"/>
  <c r="D108" i="39"/>
  <c r="E238" i="39" l="1"/>
  <c r="I24" i="32"/>
  <c r="D238" i="39"/>
  <c r="F238" i="39"/>
  <c r="T124" i="60" l="1"/>
  <c r="D124" i="60"/>
  <c r="K122" i="60"/>
  <c r="W121" i="60"/>
  <c r="L121" i="60"/>
  <c r="I121" i="60"/>
  <c r="I124" i="60" s="1"/>
  <c r="K119" i="60"/>
  <c r="W118" i="60"/>
  <c r="L118" i="60"/>
  <c r="K118" i="60"/>
  <c r="V116" i="60"/>
  <c r="K116" i="60"/>
  <c r="V115" i="60"/>
  <c r="K115" i="60"/>
  <c r="W114" i="60"/>
  <c r="W113" i="60" s="1"/>
  <c r="N114" i="60"/>
  <c r="N113" i="60" s="1"/>
  <c r="K114" i="60"/>
  <c r="L113" i="60"/>
  <c r="C113" i="60"/>
  <c r="K113" i="60" s="1"/>
  <c r="V111" i="60"/>
  <c r="K111" i="60"/>
  <c r="V110" i="60"/>
  <c r="K110" i="60"/>
  <c r="W109" i="60"/>
  <c r="W103" i="60" s="1"/>
  <c r="V109" i="60"/>
  <c r="K109" i="60"/>
  <c r="V108" i="60"/>
  <c r="K108" i="60"/>
  <c r="V107" i="60"/>
  <c r="K107" i="60"/>
  <c r="V106" i="60"/>
  <c r="K106" i="60"/>
  <c r="V105" i="60"/>
  <c r="K105" i="60"/>
  <c r="V104" i="60"/>
  <c r="K104" i="60"/>
  <c r="N103" i="60"/>
  <c r="V103" i="60" s="1"/>
  <c r="L103" i="60"/>
  <c r="C103" i="60"/>
  <c r="K103" i="60" s="1"/>
  <c r="W101" i="60"/>
  <c r="V101" i="60"/>
  <c r="L101" i="60"/>
  <c r="K101" i="60"/>
  <c r="W100" i="60"/>
  <c r="V100" i="60"/>
  <c r="L100" i="60"/>
  <c r="K100" i="60"/>
  <c r="W99" i="60"/>
  <c r="V99" i="60"/>
  <c r="L99" i="60"/>
  <c r="K99" i="60"/>
  <c r="W98" i="60"/>
  <c r="V98" i="60"/>
  <c r="L98" i="60"/>
  <c r="K98" i="60"/>
  <c r="W97" i="60"/>
  <c r="V97" i="60"/>
  <c r="L97" i="60"/>
  <c r="K97" i="60"/>
  <c r="W96" i="60"/>
  <c r="V96" i="60"/>
  <c r="L96" i="60"/>
  <c r="K96" i="60"/>
  <c r="W95" i="60"/>
  <c r="V95" i="60"/>
  <c r="L95" i="60"/>
  <c r="K95" i="60"/>
  <c r="V94" i="60"/>
  <c r="K94" i="60"/>
  <c r="W93" i="60"/>
  <c r="V93" i="60"/>
  <c r="K93" i="60"/>
  <c r="N92" i="60"/>
  <c r="V92" i="60" s="1"/>
  <c r="C92" i="60"/>
  <c r="V90" i="60"/>
  <c r="K90" i="60"/>
  <c r="V89" i="60"/>
  <c r="K89" i="60"/>
  <c r="V88" i="60"/>
  <c r="K88" i="60"/>
  <c r="V87" i="60"/>
  <c r="K87" i="60"/>
  <c r="V86" i="60"/>
  <c r="K86" i="60"/>
  <c r="W85" i="60"/>
  <c r="N85" i="60"/>
  <c r="V85" i="60" s="1"/>
  <c r="L85" i="60"/>
  <c r="C85" i="60"/>
  <c r="K85" i="60" s="1"/>
  <c r="C124" i="60" l="1"/>
  <c r="V114" i="60"/>
  <c r="W92" i="60"/>
  <c r="W124" i="60" s="1"/>
  <c r="L92" i="60"/>
  <c r="L124" i="60" s="1"/>
  <c r="V113" i="60"/>
  <c r="N124" i="60"/>
  <c r="K121" i="60"/>
  <c r="K92" i="60"/>
  <c r="K124" i="60" l="1"/>
  <c r="F18" i="81" l="1"/>
  <c r="F22" i="81"/>
  <c r="H146" i="79" l="1"/>
  <c r="G146" i="79"/>
  <c r="H145" i="79"/>
  <c r="G145" i="79"/>
  <c r="H113" i="79"/>
  <c r="G113" i="79"/>
  <c r="H112" i="79"/>
  <c r="G112" i="79"/>
  <c r="H77" i="79"/>
  <c r="G77" i="79"/>
  <c r="H76" i="79"/>
  <c r="G76" i="79"/>
  <c r="H39" i="79"/>
  <c r="H40" i="79"/>
  <c r="G39" i="79"/>
  <c r="G40" i="79"/>
  <c r="C42" i="70" l="1"/>
  <c r="C43" i="70"/>
  <c r="D43" i="70"/>
  <c r="C44" i="70"/>
  <c r="D44" i="70"/>
  <c r="C45" i="70"/>
  <c r="D45" i="70"/>
  <c r="C46" i="70"/>
  <c r="D46" i="70"/>
  <c r="B28" i="76" l="1"/>
  <c r="C28" i="76"/>
  <c r="B19" i="76"/>
  <c r="C19" i="76"/>
  <c r="B10" i="76"/>
  <c r="C10" i="76"/>
  <c r="D10" i="76"/>
  <c r="D28" i="76"/>
  <c r="D19" i="76"/>
  <c r="C8" i="70"/>
  <c r="D269" i="70"/>
  <c r="C269" i="70"/>
  <c r="B269" i="70"/>
  <c r="D264" i="70"/>
  <c r="C264" i="70"/>
  <c r="B264" i="70"/>
  <c r="D257" i="70"/>
  <c r="C257" i="70"/>
  <c r="B257" i="70"/>
  <c r="D252" i="70"/>
  <c r="C252" i="70"/>
  <c r="B252" i="70"/>
  <c r="D247" i="70"/>
  <c r="D254" i="70" s="1"/>
  <c r="C247" i="70"/>
  <c r="B247" i="70"/>
  <c r="D240" i="70"/>
  <c r="C240" i="70"/>
  <c r="B240" i="70"/>
  <c r="D235" i="70"/>
  <c r="C235" i="70"/>
  <c r="B235" i="70"/>
  <c r="D230" i="70"/>
  <c r="C230" i="70"/>
  <c r="B230" i="70"/>
  <c r="D223" i="70"/>
  <c r="C223" i="70"/>
  <c r="B223" i="70"/>
  <c r="D215" i="70"/>
  <c r="C215" i="70"/>
  <c r="B215" i="70"/>
  <c r="D210" i="70"/>
  <c r="C210" i="70"/>
  <c r="B210" i="70"/>
  <c r="D203" i="70"/>
  <c r="C203" i="70"/>
  <c r="B203" i="70"/>
  <c r="D198" i="70"/>
  <c r="C198" i="70"/>
  <c r="B198" i="70"/>
  <c r="D193" i="70"/>
  <c r="C193" i="70"/>
  <c r="B193" i="70"/>
  <c r="D186" i="70"/>
  <c r="C186" i="70"/>
  <c r="B186" i="70"/>
  <c r="D181" i="70"/>
  <c r="C181" i="70"/>
  <c r="B181" i="70"/>
  <c r="D176" i="70"/>
  <c r="C176" i="70"/>
  <c r="B176" i="70"/>
  <c r="D169" i="70"/>
  <c r="C169" i="70"/>
  <c r="B169" i="70"/>
  <c r="D161" i="70"/>
  <c r="C161" i="70"/>
  <c r="B161" i="70"/>
  <c r="D156" i="70"/>
  <c r="C156" i="70"/>
  <c r="B156" i="70"/>
  <c r="D149" i="70"/>
  <c r="C149" i="70"/>
  <c r="B149" i="70"/>
  <c r="D144" i="70"/>
  <c r="C144" i="70"/>
  <c r="B144" i="70"/>
  <c r="D139" i="70"/>
  <c r="C139" i="70"/>
  <c r="B139" i="70"/>
  <c r="D132" i="70"/>
  <c r="C132" i="70"/>
  <c r="B132" i="70"/>
  <c r="D127" i="70"/>
  <c r="C127" i="70"/>
  <c r="B127" i="70"/>
  <c r="D122" i="70"/>
  <c r="C122" i="70"/>
  <c r="B122" i="70"/>
  <c r="D115" i="70"/>
  <c r="C115" i="70"/>
  <c r="B115" i="70"/>
  <c r="D107" i="70"/>
  <c r="C107" i="70"/>
  <c r="B107" i="70"/>
  <c r="D102" i="70"/>
  <c r="C102" i="70"/>
  <c r="B102" i="70"/>
  <c r="D95" i="70"/>
  <c r="C95" i="70"/>
  <c r="B95" i="70"/>
  <c r="D90" i="70"/>
  <c r="C90" i="70"/>
  <c r="B90" i="70"/>
  <c r="D85" i="70"/>
  <c r="C85" i="70"/>
  <c r="B85" i="70"/>
  <c r="D78" i="70"/>
  <c r="C78" i="70"/>
  <c r="B78" i="70"/>
  <c r="D73" i="70"/>
  <c r="C73" i="70"/>
  <c r="B73" i="70"/>
  <c r="D68" i="70"/>
  <c r="C68" i="70"/>
  <c r="B68" i="70"/>
  <c r="D61" i="70"/>
  <c r="C61" i="70"/>
  <c r="B61" i="70"/>
  <c r="D52" i="70"/>
  <c r="C52" i="70"/>
  <c r="B52" i="70"/>
  <c r="D51" i="70"/>
  <c r="C51" i="70"/>
  <c r="B51" i="70"/>
  <c r="D50" i="70"/>
  <c r="C50" i="70"/>
  <c r="B50" i="70"/>
  <c r="D49" i="70"/>
  <c r="C49" i="70"/>
  <c r="B49" i="70"/>
  <c r="D48" i="70"/>
  <c r="C48" i="70"/>
  <c r="B48" i="70"/>
  <c r="B46" i="70"/>
  <c r="B45" i="70"/>
  <c r="B44" i="70"/>
  <c r="B43" i="70"/>
  <c r="B42" i="70"/>
  <c r="D35" i="70"/>
  <c r="C35" i="70"/>
  <c r="B35" i="70"/>
  <c r="D34" i="70"/>
  <c r="C34" i="70"/>
  <c r="B34" i="70"/>
  <c r="D33" i="70"/>
  <c r="C33" i="70"/>
  <c r="B33" i="70"/>
  <c r="D32" i="70"/>
  <c r="C32" i="70"/>
  <c r="B32" i="70"/>
  <c r="D31" i="70"/>
  <c r="C31" i="70"/>
  <c r="B31" i="70"/>
  <c r="D29" i="70"/>
  <c r="C29" i="70"/>
  <c r="B29" i="70"/>
  <c r="D28" i="70"/>
  <c r="C28" i="70"/>
  <c r="B28" i="70"/>
  <c r="D27" i="70"/>
  <c r="C27" i="70"/>
  <c r="B27" i="70"/>
  <c r="D26" i="70"/>
  <c r="C26" i="70"/>
  <c r="B26" i="70"/>
  <c r="D25" i="70"/>
  <c r="C25" i="70"/>
  <c r="B25" i="70"/>
  <c r="D18" i="70"/>
  <c r="C18" i="70"/>
  <c r="B18" i="70"/>
  <c r="D17" i="70"/>
  <c r="C17" i="70"/>
  <c r="B17" i="70"/>
  <c r="D16" i="70"/>
  <c r="C16" i="70"/>
  <c r="B16" i="70"/>
  <c r="D15" i="70"/>
  <c r="C15" i="70"/>
  <c r="B15" i="70"/>
  <c r="D14" i="70"/>
  <c r="C14" i="70"/>
  <c r="B14" i="70"/>
  <c r="C12" i="70"/>
  <c r="B12" i="70"/>
  <c r="C11" i="70"/>
  <c r="B11" i="70"/>
  <c r="D10" i="70"/>
  <c r="C10" i="70"/>
  <c r="B10" i="70"/>
  <c r="D9" i="70"/>
  <c r="C9" i="70"/>
  <c r="B9" i="70"/>
  <c r="D8" i="70"/>
  <c r="B8" i="70"/>
  <c r="D92" i="70" l="1"/>
  <c r="D237" i="70"/>
  <c r="D217" i="70"/>
  <c r="D75" i="70"/>
  <c r="B30" i="70"/>
  <c r="D271" i="70"/>
  <c r="D163" i="70"/>
  <c r="B200" i="70"/>
  <c r="C200" i="70"/>
  <c r="B40" i="70"/>
  <c r="D129" i="70"/>
  <c r="C271" i="70"/>
  <c r="B129" i="70"/>
  <c r="B183" i="70"/>
  <c r="C129" i="70"/>
  <c r="C47" i="70"/>
  <c r="C217" i="70"/>
  <c r="B13" i="70"/>
  <c r="B109" i="70"/>
  <c r="D200" i="70"/>
  <c r="B271" i="70"/>
  <c r="B6" i="70"/>
  <c r="B92" i="70"/>
  <c r="C183" i="70"/>
  <c r="B254" i="70"/>
  <c r="B23" i="70"/>
  <c r="D47" i="70"/>
  <c r="B163" i="70"/>
  <c r="D183" i="70"/>
  <c r="B75" i="70"/>
  <c r="B237" i="70"/>
  <c r="C75" i="70"/>
  <c r="D109" i="70"/>
  <c r="B146" i="70"/>
  <c r="B47" i="70"/>
  <c r="B54" i="70" s="1"/>
  <c r="B217" i="70"/>
  <c r="C254" i="70"/>
  <c r="C237" i="70"/>
  <c r="C163" i="70"/>
  <c r="C30" i="70"/>
  <c r="C146" i="70"/>
  <c r="C6" i="70"/>
  <c r="C109" i="70"/>
  <c r="C40" i="70"/>
  <c r="D6" i="70"/>
  <c r="D146" i="70"/>
  <c r="D23" i="70"/>
  <c r="D40" i="70"/>
  <c r="D13" i="70"/>
  <c r="D30" i="70"/>
  <c r="C92" i="70"/>
  <c r="C23" i="70"/>
  <c r="C13" i="70"/>
  <c r="C37" i="70" l="1"/>
  <c r="B37" i="70"/>
  <c r="C54" i="70"/>
  <c r="B20" i="70"/>
  <c r="D54" i="70"/>
  <c r="C20" i="70"/>
  <c r="D20" i="70"/>
  <c r="D37" i="70"/>
  <c r="E24" i="21"/>
  <c r="E20" i="21"/>
  <c r="L16" i="21"/>
  <c r="H16" i="21"/>
  <c r="G16" i="21"/>
  <c r="F16" i="21"/>
  <c r="E16" i="21"/>
  <c r="D16" i="21"/>
  <c r="L12" i="21"/>
  <c r="J12" i="21"/>
  <c r="H12" i="21"/>
  <c r="G12" i="21"/>
  <c r="F12" i="21"/>
  <c r="E12" i="21"/>
  <c r="D12" i="21"/>
  <c r="N8" i="21"/>
  <c r="L8" i="21"/>
  <c r="H8" i="21"/>
  <c r="G8" i="21"/>
  <c r="F8" i="21"/>
  <c r="E8" i="21"/>
  <c r="D8" i="21"/>
  <c r="J21" i="21"/>
  <c r="K21" i="21"/>
  <c r="L21" i="21"/>
  <c r="N21" i="21"/>
  <c r="Q7" i="21"/>
  <c r="N19" i="21"/>
  <c r="N18" i="21"/>
  <c r="N17" i="21"/>
  <c r="N15" i="21"/>
  <c r="N16" i="21" s="1"/>
  <c r="N14" i="21"/>
  <c r="Q14" i="21" s="1"/>
  <c r="N13" i="21"/>
  <c r="N11" i="21"/>
  <c r="N10" i="21"/>
  <c r="N12" i="21" s="1"/>
  <c r="N9" i="21"/>
  <c r="Q9" i="21" s="1"/>
  <c r="N7" i="21"/>
  <c r="N6" i="21"/>
  <c r="N5" i="21"/>
  <c r="I19" i="21"/>
  <c r="I20" i="21" s="1"/>
  <c r="I18" i="21"/>
  <c r="I17" i="21"/>
  <c r="Q17" i="21" s="1"/>
  <c r="R17" i="21" s="1"/>
  <c r="I15" i="21"/>
  <c r="Q15" i="21" s="1"/>
  <c r="I14" i="21"/>
  <c r="I13" i="21"/>
  <c r="Q13" i="21" s="1"/>
  <c r="I11" i="21"/>
  <c r="I12" i="21" s="1"/>
  <c r="I10" i="21"/>
  <c r="Q10" i="21" s="1"/>
  <c r="I9" i="21"/>
  <c r="I7" i="21"/>
  <c r="I8" i="21" s="1"/>
  <c r="I6" i="21"/>
  <c r="Q6" i="21" s="1"/>
  <c r="I5" i="21"/>
  <c r="Q5" i="21" s="1"/>
  <c r="M23" i="21"/>
  <c r="L23" i="21"/>
  <c r="L24" i="21" s="1"/>
  <c r="K23" i="21"/>
  <c r="J23" i="21"/>
  <c r="N23" i="21" s="1"/>
  <c r="N24" i="21" s="1"/>
  <c r="M22" i="21"/>
  <c r="L22" i="21"/>
  <c r="K22" i="21"/>
  <c r="J22" i="21"/>
  <c r="N22" i="21" s="1"/>
  <c r="M21" i="21"/>
  <c r="H23" i="21"/>
  <c r="H24" i="21" s="1"/>
  <c r="G23" i="21"/>
  <c r="G24" i="21" s="1"/>
  <c r="F23" i="21"/>
  <c r="I23" i="21" s="1"/>
  <c r="E23" i="21"/>
  <c r="H22" i="21"/>
  <c r="G22" i="21"/>
  <c r="F22" i="21"/>
  <c r="E22" i="21"/>
  <c r="H21" i="21"/>
  <c r="G21" i="21"/>
  <c r="F21" i="21"/>
  <c r="E21" i="21"/>
  <c r="D23" i="21"/>
  <c r="D24" i="21" s="1"/>
  <c r="D22" i="21"/>
  <c r="D21" i="21"/>
  <c r="I21" i="21" s="1"/>
  <c r="Q21" i="21" s="1"/>
  <c r="R21" i="21" s="1"/>
  <c r="R13" i="21" l="1"/>
  <c r="Q23" i="21"/>
  <c r="R9" i="21"/>
  <c r="R5" i="21"/>
  <c r="R15" i="21"/>
  <c r="Q16" i="21"/>
  <c r="R7" i="21"/>
  <c r="Q8" i="21"/>
  <c r="I16" i="21"/>
  <c r="F24" i="21"/>
  <c r="Q11" i="21"/>
  <c r="J24" i="21"/>
  <c r="I22" i="21"/>
  <c r="Q22" i="21" s="1"/>
  <c r="R22" i="21" s="1"/>
  <c r="Q18" i="21"/>
  <c r="Q19" i="21"/>
  <c r="R19" i="21" s="1"/>
  <c r="M7" i="9"/>
  <c r="M6" i="9"/>
  <c r="L11" i="9"/>
  <c r="L20" i="9" s="1"/>
  <c r="K11" i="9"/>
  <c r="K20" i="9" s="1"/>
  <c r="J11" i="9"/>
  <c r="J20" i="9" s="1"/>
  <c r="I11" i="9"/>
  <c r="I20" i="9" s="1"/>
  <c r="D11" i="9"/>
  <c r="E11" i="9"/>
  <c r="E20" i="9" s="1"/>
  <c r="F11" i="9"/>
  <c r="F20" i="9" s="1"/>
  <c r="G11" i="9"/>
  <c r="G20" i="9" s="1"/>
  <c r="C11" i="9"/>
  <c r="C20" i="9" s="1"/>
  <c r="H10" i="9"/>
  <c r="P10" i="9" s="1"/>
  <c r="H9" i="9"/>
  <c r="H8" i="9"/>
  <c r="H7" i="9"/>
  <c r="H6" i="9"/>
  <c r="M9" i="30"/>
  <c r="L9" i="30"/>
  <c r="E9" i="30"/>
  <c r="F9" i="30"/>
  <c r="G9" i="30"/>
  <c r="H9" i="30"/>
  <c r="D9" i="30"/>
  <c r="N6" i="30"/>
  <c r="N7" i="30"/>
  <c r="N8" i="30"/>
  <c r="N5" i="30"/>
  <c r="N9" i="30" s="1"/>
  <c r="I6" i="30"/>
  <c r="I7" i="30"/>
  <c r="Q7" i="30" s="1"/>
  <c r="I8" i="30"/>
  <c r="Q8" i="30" s="1"/>
  <c r="I5" i="30"/>
  <c r="I9" i="30" s="1"/>
  <c r="C37" i="73"/>
  <c r="B25" i="73"/>
  <c r="C13" i="73"/>
  <c r="D37" i="73"/>
  <c r="D25" i="73"/>
  <c r="D13" i="73"/>
  <c r="R11" i="21" l="1"/>
  <c r="Q12" i="21"/>
  <c r="I24" i="21"/>
  <c r="R23" i="21"/>
  <c r="Q24" i="21"/>
  <c r="Q6" i="30"/>
  <c r="P6" i="9"/>
  <c r="R6" i="21"/>
  <c r="Q5" i="30"/>
  <c r="Q20" i="21"/>
  <c r="R18" i="21"/>
  <c r="R10" i="21"/>
  <c r="R14" i="21"/>
  <c r="H11" i="9"/>
  <c r="H20" i="9" s="1"/>
  <c r="P7" i="9"/>
  <c r="M11" i="9"/>
  <c r="M20" i="9" s="1"/>
  <c r="D20" i="9"/>
  <c r="Q9" i="30" l="1"/>
  <c r="R5" i="30"/>
  <c r="P11" i="9"/>
  <c r="R9" i="30" l="1"/>
  <c r="R8" i="30"/>
  <c r="R7" i="30"/>
  <c r="R6" i="30"/>
  <c r="P20" i="9"/>
  <c r="Q20" i="9" l="1"/>
  <c r="Q7" i="9"/>
  <c r="Q6" i="9"/>
  <c r="Q10" i="9"/>
  <c r="Q11"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pcuba</author>
  </authors>
  <commentList>
    <comment ref="D4" authorId="0" shapeId="0" xr:uid="{00000000-0006-0000-0100-000001000000}">
      <text>
        <r>
          <rPr>
            <sz val="8"/>
            <color indexed="81"/>
            <rFont val="Tahoma"/>
            <family val="2"/>
          </rPr>
          <t xml:space="preserve">
Nombre del Indicador</t>
        </r>
      </text>
    </comment>
    <comment ref="D14" authorId="0" shapeId="0" xr:uid="{8F1E15BB-30BC-4B1D-B2F1-AA9CDCA0FD6D}">
      <text>
        <r>
          <rPr>
            <sz val="8"/>
            <color indexed="81"/>
            <rFont val="Tahoma"/>
            <family val="2"/>
          </rPr>
          <t xml:space="preserve">
Nombre del Indicador</t>
        </r>
      </text>
    </comment>
    <comment ref="D25" authorId="0" shapeId="0" xr:uid="{90FC2A59-7E99-4EA6-BB96-CB94D50438D1}">
      <text>
        <r>
          <rPr>
            <sz val="8"/>
            <color indexed="81"/>
            <rFont val="Tahoma"/>
            <family val="2"/>
          </rPr>
          <t xml:space="preserve">
Nombre del Indicador</t>
        </r>
      </text>
    </comment>
    <comment ref="D39" authorId="0" shapeId="0" xr:uid="{EA0CB2D5-BD00-4D79-9199-153A0AD50760}">
      <text>
        <r>
          <rPr>
            <sz val="8"/>
            <color indexed="81"/>
            <rFont val="Tahoma"/>
            <family val="2"/>
          </rPr>
          <t xml:space="preserve">
Nombre del Indicador</t>
        </r>
      </text>
    </comment>
  </commentList>
</comments>
</file>

<file path=xl/sharedStrings.xml><?xml version="1.0" encoding="utf-8"?>
<sst xmlns="http://schemas.openxmlformats.org/spreadsheetml/2006/main" count="18417" uniqueCount="4880">
  <si>
    <t>TOTAL</t>
  </si>
  <si>
    <t>RECURSOS PUBLICOS</t>
  </si>
  <si>
    <t>MONTO</t>
  </si>
  <si>
    <t>F-8</t>
  </si>
  <si>
    <t>PROFESIONALES</t>
  </si>
  <si>
    <t>TECNICOS</t>
  </si>
  <si>
    <t>AUXILIARES</t>
  </si>
  <si>
    <t>DIRECTIVOS/FUNCIONARIOS</t>
  </si>
  <si>
    <t>FUENTE DE FINANCIAMIENTO</t>
  </si>
  <si>
    <t xml:space="preserve"> REMUNERATIVA</t>
  </si>
  <si>
    <t>CATEGORIA</t>
  </si>
  <si>
    <t>PEA</t>
  </si>
  <si>
    <t>F-1</t>
  </si>
  <si>
    <t>SPA</t>
  </si>
  <si>
    <t>STA</t>
  </si>
  <si>
    <t>SAA</t>
  </si>
  <si>
    <t>S/.</t>
  </si>
  <si>
    <t>Est. %</t>
  </si>
  <si>
    <t>EST. %</t>
  </si>
  <si>
    <t>GASTOS CORRIENTES */</t>
  </si>
  <si>
    <t>TOTAL (A)</t>
  </si>
  <si>
    <t>OTROS</t>
  </si>
  <si>
    <t>COSTO ANUAL</t>
  </si>
  <si>
    <t>OBLIGACIONES DEL EMPLEADOR (CARGAS SOCIALES)</t>
  </si>
  <si>
    <t>GASTOS VARIABLES Y OCASIONALES</t>
  </si>
  <si>
    <t>COMBUSTIBLE Y LUBRICANTES</t>
  </si>
  <si>
    <t>SERVICIOS NO PERSONALES</t>
  </si>
  <si>
    <t>PROPINAS</t>
  </si>
  <si>
    <t>BIENES DISTRIBUCION GRATUITA</t>
  </si>
  <si>
    <t>PASAJES Y GASTOS DE TRANSPORTE</t>
  </si>
  <si>
    <t>CONTRATACION CON EMPRESAS DE SERVICIOS</t>
  </si>
  <si>
    <t>TRANSFERENCIAS CAFAE</t>
  </si>
  <si>
    <t>RUBROS</t>
  </si>
  <si>
    <t>OTROS SERVICIOS DE TERCEROS</t>
  </si>
  <si>
    <t>BIENES DE CONSUMO</t>
  </si>
  <si>
    <t>ALIMENTOS DE PERSONAS</t>
  </si>
  <si>
    <t>TARIFAS DE SERVICIOS GENERALES</t>
  </si>
  <si>
    <t>OTROS (DETALLAR)</t>
  </si>
  <si>
    <t>SEGUROS</t>
  </si>
  <si>
    <t>VIATICOS Y ASIGNACIONES</t>
  </si>
  <si>
    <t>NUEVOS SOLES</t>
  </si>
  <si>
    <t xml:space="preserve">SERVICIO DE CONSULTORIA </t>
  </si>
  <si>
    <t>CONSULTORIAS</t>
  </si>
  <si>
    <t xml:space="preserve">TOTAL </t>
  </si>
  <si>
    <t>1. RECURSOS ORDINARIOS</t>
  </si>
  <si>
    <t>2. RECURSOS DIRECTAM. RECAUD.</t>
  </si>
  <si>
    <t>3.- RECURSOS OPERACIONES</t>
  </si>
  <si>
    <t>4. DONACIONES Y TRANSFERENCIAS</t>
  </si>
  <si>
    <t>5. RECURSOS DETERMINADOS</t>
  </si>
  <si>
    <t xml:space="preserve">    - CONTRIBUCIONES A FONDOS</t>
  </si>
  <si>
    <t xml:space="preserve">    - FONDO DE COMPENCIÓN MUNICIPAL</t>
  </si>
  <si>
    <t xml:space="preserve">    - IMPUESTOS MUNICIPALES</t>
  </si>
  <si>
    <t xml:space="preserve">    - CANON  Y  SOBRECANON, REGALIAS</t>
  </si>
  <si>
    <t xml:space="preserve">       Y PARTICIPACIONES</t>
  </si>
  <si>
    <t>TOTAL    (*)</t>
  </si>
  <si>
    <t>OTROS (ESPECIFICAR) (**)</t>
  </si>
  <si>
    <t>(PIA) = Presupuesto Institucional de Apertura</t>
  </si>
  <si>
    <t>TIPO DE ESTUDIO Y/O INFORME (*)</t>
  </si>
  <si>
    <t>(*) EL PRODUCTO QUE SE ADQUIERE</t>
  </si>
  <si>
    <t>NIVELES REMUNERATIVOS</t>
  </si>
  <si>
    <t>(1)</t>
  </si>
  <si>
    <t>(2)</t>
  </si>
  <si>
    <t>(3)</t>
  </si>
  <si>
    <t>(4)</t>
  </si>
  <si>
    <t>(5)</t>
  </si>
  <si>
    <t>(6)</t>
  </si>
  <si>
    <t>CARRERA ADMINISTRATIVA</t>
  </si>
  <si>
    <t>CARRERA JUDICIAL</t>
  </si>
  <si>
    <t>NOTAS</t>
  </si>
  <si>
    <t xml:space="preserve">(1) PEA: </t>
  </si>
  <si>
    <t xml:space="preserve">(2) REMUNERACION: </t>
  </si>
  <si>
    <t xml:space="preserve">SE CONSIGNARA LA REMUNERACION MENSUAL PROMEDIO DE UN SERVIDOR EN CADA NIVEL DE LA CARRERA PUBLICA SEGUN CORRESPONDA </t>
  </si>
  <si>
    <t xml:space="preserve">(3) CAFAE: </t>
  </si>
  <si>
    <t xml:space="preserve">SE CONSIGNARA EL  INCENTIVO LABORAL  MENSUAL PROMEDIO QUE POR DISPOSICION EXPRESA SE LE OTORGUE A UN SERVIDOR EN CADA NIVEL SEGUN CORRESPONDA </t>
  </si>
  <si>
    <t xml:space="preserve">(4) AETA: </t>
  </si>
  <si>
    <t xml:space="preserve">SOLO APLICABLE AL SECTOR SALUD. SE CONSIGNARA LA ASIGNACION EXTRAORDINARIA POR TRABAJO ASISTENCIAL  MENSUAL PROMEDIO DE UN SERVIDOR EN CADA NIVEL </t>
  </si>
  <si>
    <t xml:space="preserve">SEGUN CORRESPONDA </t>
  </si>
  <si>
    <t xml:space="preserve">(5) OTROS BENEFICIOS - ASIGNACION MENSUAL </t>
  </si>
  <si>
    <t xml:space="preserve">RUBROS ANTERIORES . EN HOJA INDEPENDIENTES SE DETALLARA CADA CONCEPTO Y MONTO, ASI COMO LA DISPOSICION EXPRESA QUE LOS AUTORICE Y LA PERIODICIDAD CON QUE </t>
  </si>
  <si>
    <t xml:space="preserve">SE OTORGA . DEBERA DETALLAR POR CADA CONCEPTO ASI COMO LA DISPOSICION EXPRESA QUE LOS AUTORICE Y LA PERIODICIDAD CON QUE SE OTORGA (MENSUAL, BIMENSUAL, </t>
  </si>
  <si>
    <t>TRIMESTRAL , CUATRIMENSUAL)</t>
  </si>
  <si>
    <t>(7)</t>
  </si>
  <si>
    <t>ADQUISICIONES/CONTRATACIONES/OBRAS</t>
  </si>
  <si>
    <t xml:space="preserve">    - OTROS (ESPECIFICAR)</t>
  </si>
  <si>
    <t>TOTAL SECTOR</t>
  </si>
  <si>
    <t>PROYECTO</t>
  </si>
  <si>
    <t>CODIGO SNIP</t>
  </si>
  <si>
    <t>TIPO DE PROCESO DE SELECCIÓN</t>
  </si>
  <si>
    <t>ADQUISICIÓN</t>
  </si>
  <si>
    <t>OBSERVACIONES</t>
  </si>
  <si>
    <t>ESTADO DEL PROCESO</t>
  </si>
  <si>
    <t>PART. %</t>
  </si>
  <si>
    <t xml:space="preserve">       OFICIALES DE CREDITO</t>
  </si>
  <si>
    <t>SERVICIO DE DEUDA</t>
  </si>
  <si>
    <t>(**) PNUD, BONOS, etc.</t>
  </si>
  <si>
    <t>TIPO DE CONTRATO</t>
  </si>
  <si>
    <t>CAS</t>
  </si>
  <si>
    <t>…</t>
  </si>
  <si>
    <t>PLIEGO</t>
  </si>
  <si>
    <t>UNIDAD EJECUTORA</t>
  </si>
  <si>
    <t>FUNCIÓN DESEMPEÑADA</t>
  </si>
  <si>
    <t>SUB TOTAL GASTOS CORRIENTES</t>
  </si>
  <si>
    <t>SUB TOTAL GASTOS DE CAPITAL</t>
  </si>
  <si>
    <t>SUB TOTAL SERVICIO DE DEUDA</t>
  </si>
  <si>
    <t>GASTOS DE CAPITAL</t>
  </si>
  <si>
    <t>1: Reserva de Contingencia</t>
  </si>
  <si>
    <t>2: Personal y Obligaciones Sociales</t>
  </si>
  <si>
    <t>3: Pensiones y Prestaciones Sociales</t>
  </si>
  <si>
    <t>4: Bienes y Servicios</t>
  </si>
  <si>
    <t>5: Donaciones y Transferencias</t>
  </si>
  <si>
    <t>6: Otros Gastos</t>
  </si>
  <si>
    <t>7: Donaciones y Transferencias</t>
  </si>
  <si>
    <t>8: Otros Gastos</t>
  </si>
  <si>
    <t>9: Adquisiciones de Activos No Financieros</t>
  </si>
  <si>
    <t>10: Adquisiciones de Activos Financieros</t>
  </si>
  <si>
    <t>11: Servicio de la Deuda</t>
  </si>
  <si>
    <t>GASTOS CORRIENTES</t>
  </si>
  <si>
    <t>TRIMESTRAL , CUATRIMENSUAL  O SIN PERIODICIDAD)</t>
  </si>
  <si>
    <t>(8)</t>
  </si>
  <si>
    <t>SUB TOTAL OTROS BENEFICIOS ... (no, mensuales, monto anual)</t>
  </si>
  <si>
    <t>ESPECIALIDAD (**)</t>
  </si>
  <si>
    <t>(**) LA ESPECIALIDAD TOMANDO ENCUENTA HACIENDO REFERENCIA UNA O MAS DE LAS 25 FUNCIONES DEL CLASIFICADOR FUNCIONAL PROGRAMATICO</t>
  </si>
  <si>
    <t xml:space="preserve">CONTRAPRESTACIÓN MENSUAL </t>
  </si>
  <si>
    <t>FUNCIONES</t>
  </si>
  <si>
    <t>PPTO (PIA)</t>
  </si>
  <si>
    <t>3 Planeam. Gestión y Reserva</t>
  </si>
  <si>
    <t>Decreto Legislativo 728 (Regimen Privado)</t>
  </si>
  <si>
    <t>DNI</t>
  </si>
  <si>
    <t>Apellidos y Nombres</t>
  </si>
  <si>
    <t>Numero de contratos o renovaciones</t>
  </si>
  <si>
    <t>Meses Ejecutados</t>
  </si>
  <si>
    <t>Monto Ejecutado</t>
  </si>
  <si>
    <t>Titulo Profesióonal, Técncio o Capacitación Ocupacional</t>
  </si>
  <si>
    <t>7: Donaciones y Transferencias (de capital)</t>
  </si>
  <si>
    <t>5: Donaciones y Transferencias (corrientes)</t>
  </si>
  <si>
    <t>6: Otros Gastos (corrientes)</t>
  </si>
  <si>
    <t>8: Otros Gastos (de capital)</t>
  </si>
  <si>
    <t>TOTAL GASTOS UNIDAD EJECUTORA / ENTIDAD PÚBLICA</t>
  </si>
  <si>
    <t>CONTRATANTE</t>
  </si>
  <si>
    <t>CONTRATADO</t>
  </si>
  <si>
    <t>COSTO TOTAL EN PLANILLAS (*)</t>
  </si>
  <si>
    <t>Profesión</t>
  </si>
  <si>
    <t>Grado Academico</t>
  </si>
  <si>
    <t>PEA / Beneficiarios</t>
  </si>
  <si>
    <t>REMUNERACION MENSUAL (cada persona)</t>
  </si>
  <si>
    <t>CAFAE MENSUL (cada persona)</t>
  </si>
  <si>
    <t>AETA MENSUAL (cada persona)</t>
  </si>
  <si>
    <t>OTROS INGRESOS MENSUAL (cada persona)</t>
  </si>
  <si>
    <t>SUB TOTAL INGRESOS MENSUALES (cada persona)</t>
  </si>
  <si>
    <t>AGUINALDOS, GRAFICACIONES Y ESCOLARIDAD (anual cada persona)</t>
  </si>
  <si>
    <t>(9)</t>
  </si>
  <si>
    <t>TOTAL INGRESO ANUAL PEA</t>
  </si>
  <si>
    <t>TOTAL INGRESOS ANUAL POR PERSONA</t>
  </si>
  <si>
    <t>MONTO ANUAL</t>
  </si>
  <si>
    <t>(10)</t>
  </si>
  <si>
    <t>DIFERENCIA INGRESO ANUAL PEA</t>
  </si>
  <si>
    <t xml:space="preserve">DIFERENCIA INGRESO ANUAL POR PERSONAL </t>
  </si>
  <si>
    <t>SE CONSIGNARA EL NUMERO TOTAL DE PERSONAL ACTIVO ( NOMBRADO Y CONTRATADO) SEGÚN EL PRESUPUESTO ANILITOCO DE PERSONAL (PAP) APROBADO</t>
  </si>
  <si>
    <t>(**) Recursos Públicos / Recursos Ordinarios / Recursos Directamente Recaudados / Donaciones  y  Transferencias / Operaciones Oficiales de Crédito/ Recursos Determinados</t>
  </si>
  <si>
    <t>FECHA DE SUSCRIPCION DEL CONTRATO</t>
  </si>
  <si>
    <t>FECHA DE VENCIMIENTO DEL PLAZO</t>
  </si>
  <si>
    <t>PLAZO DE EJEUCION DE OBRAS</t>
  </si>
  <si>
    <t>AMPLIACION DE PLAZO</t>
  </si>
  <si>
    <t>FECHA DE VENCIMIENTO DE PLAZO</t>
  </si>
  <si>
    <t>FECHA DE ENTREGA</t>
  </si>
  <si>
    <t>FECHA DE CONFORMIDAD DE OBRA</t>
  </si>
  <si>
    <t>VESTUARIO</t>
  </si>
  <si>
    <t>BONOS POR FUNCION JURIDICCIONAL Y FISCAL</t>
  </si>
  <si>
    <t>ESCOLARIDAD, AGUINALDO Y GRATIFICACIONES</t>
  </si>
  <si>
    <t>BONIFICACIÓN EXTRAORDINARIA (INACEPTACIÓN DE GRATIFICACIONES)</t>
  </si>
  <si>
    <t>DIETAS</t>
  </si>
  <si>
    <t>RETRIBUCIONES EN BIENES</t>
  </si>
  <si>
    <t>MOVILIDAD PARA TRASLADO DE TRABAJADORES</t>
  </si>
  <si>
    <t>PRODUCTIVIDAD</t>
  </si>
  <si>
    <t>SEGUROS (ESPECIFICAR)</t>
  </si>
  <si>
    <t>GASTOS POR ESTACIONAMIENTO DE VEHICULOS</t>
  </si>
  <si>
    <t>DIETA DE DIRECTORIO</t>
  </si>
  <si>
    <t>OTROS INGRESOS NO MENSUALES 
(anual cada personal)</t>
  </si>
  <si>
    <t>INCENTIVOS O PRODUCTIVIDAD (cada persona)</t>
  </si>
  <si>
    <t>MOVILIDAD</t>
  </si>
  <si>
    <t>RACIONAMIENTO</t>
  </si>
  <si>
    <t>BONOS</t>
  </si>
  <si>
    <t>(10) SUB TOTAL</t>
  </si>
  <si>
    <t>SUMATORIA DE LAS COLUMNAS (2), (3), (4), (5), (6), (7), (8), (9)</t>
  </si>
  <si>
    <t>(11) AGUINALDOS, GRAFICACIONES Y ESCOLARIDAD</t>
  </si>
  <si>
    <t>(12) OTROS BENEFICIOS - ASIGNACION ANUAL</t>
  </si>
  <si>
    <t>(11)</t>
  </si>
  <si>
    <t>(12)</t>
  </si>
  <si>
    <t xml:space="preserve">MULTIMPLACIÓN DE LA COLUMNA (10) POR 12 (MESES) Y AL RESULTADO SE SUMA LA COLUMNA (13) </t>
  </si>
  <si>
    <t>(13)</t>
  </si>
  <si>
    <t>(14)</t>
  </si>
  <si>
    <t>(15)</t>
  </si>
  <si>
    <t>(14) TOTAL INGRESOS ANUAL POR PERSONA</t>
  </si>
  <si>
    <t>(15) TOTAL ANUAL PEA</t>
  </si>
  <si>
    <t>(13) SUB TOTAL OTROS BENEFICIOS</t>
  </si>
  <si>
    <t>SUMATORIA DE LAS COLUMNAS (11) Y (12)</t>
  </si>
  <si>
    <t>MULTIPLICACIÓN DEL A COMUNTA (1) POR LA COLUMNA (14)</t>
  </si>
  <si>
    <t>CONTRATISTA (RUC y Denominacion)</t>
  </si>
  <si>
    <t>MODALIDAD</t>
  </si>
  <si>
    <t>NUMERO DEL PROCESO</t>
  </si>
  <si>
    <t>PROGRAMAS SOCIALES</t>
  </si>
  <si>
    <t>JUNTOS</t>
  </si>
  <si>
    <t>SAMU</t>
  </si>
  <si>
    <t>SMN</t>
  </si>
  <si>
    <t>Mortalidad Materna</t>
  </si>
  <si>
    <t>Mortalidad Neonatal</t>
  </si>
  <si>
    <t>II.  GESTACIÓN</t>
  </si>
  <si>
    <t>PAN</t>
  </si>
  <si>
    <t>CUNA MAS</t>
  </si>
  <si>
    <t>Desnutrición Cronica</t>
  </si>
  <si>
    <t>Mortalidad Infantil</t>
  </si>
  <si>
    <t>Desarrollo cognitivo, lenguaje, socioemocional y motor</t>
  </si>
  <si>
    <t>PELA</t>
  </si>
  <si>
    <t>Logros de aprendizaje</t>
  </si>
  <si>
    <t>Cobertura escolar</t>
  </si>
  <si>
    <t>PELA Primaria</t>
  </si>
  <si>
    <t>PELA Secundaria</t>
  </si>
  <si>
    <t>Logros de aprindizaje</t>
  </si>
  <si>
    <t>Deserción escolar</t>
  </si>
  <si>
    <t>Jovenes a la obra</t>
  </si>
  <si>
    <t>Beca 18</t>
  </si>
  <si>
    <t>Acceso a la educación superior de calidad</t>
  </si>
  <si>
    <t>Educacion pertienente para el mercado laboral</t>
  </si>
  <si>
    <t>Pensión 65</t>
  </si>
  <si>
    <t>Asegurar las condiciones básicas para la subsistencia</t>
  </si>
  <si>
    <t>III.  De 0 a 2 AÑOS</t>
  </si>
  <si>
    <t>IV. DE 3 A 5 AÑOS</t>
  </si>
  <si>
    <t>V. DE 6 A 12 AÑOS</t>
  </si>
  <si>
    <t>VI. DE 13 A 17 AÑOS</t>
  </si>
  <si>
    <t>VII. DE 17 A 24 AÑOS</t>
  </si>
  <si>
    <t>VIII. DE 65 A MAS</t>
  </si>
  <si>
    <t>I.  DE GESTANTES A NIÑOS DE HASTA 14 AÑOS</t>
  </si>
  <si>
    <t>BENEFICIARIOS</t>
  </si>
  <si>
    <t>PRESUPUESTO PIA</t>
  </si>
  <si>
    <t>PRESUPUESTO PIM</t>
  </si>
  <si>
    <t>MONTO PRESUPUESTADO (*)</t>
  </si>
  <si>
    <t>0: Reserva de Contingencia</t>
  </si>
  <si>
    <t>1: Personal y Obligaciones Sociales</t>
  </si>
  <si>
    <t>2: Pensiones y Prestaciones Sociales</t>
  </si>
  <si>
    <t>3: Bienes y Servicios</t>
  </si>
  <si>
    <t>4: Donaciones y Transferencias</t>
  </si>
  <si>
    <t>5: Otros Gastos</t>
  </si>
  <si>
    <t>6: Adquisiciones de Activos No Financieros</t>
  </si>
  <si>
    <t>7: Adquisiciones de Activos Financieros</t>
  </si>
  <si>
    <t>8: Servicio de la Deuda</t>
  </si>
  <si>
    <t>12 Energía</t>
  </si>
  <si>
    <t>13 Mineria</t>
  </si>
  <si>
    <t>24 Previsión Social</t>
  </si>
  <si>
    <t>VIAJES</t>
  </si>
  <si>
    <t>SUMINISTROS PARA MANTENIMIENTO Y REPARACION</t>
  </si>
  <si>
    <t>SERVICIOS BASICOS, COMUNICACIONES, PUBLICIDAD Y DIFUSION</t>
  </si>
  <si>
    <t>COMBUSTIBLE, CARBURANTES, LUBRICANTES Y AFINES</t>
  </si>
  <si>
    <t>SERVICIOS DE LIMPIEZA, SEGURIDAD Y VIGILANCIA</t>
  </si>
  <si>
    <t>SERVICIO DE MANTENIMIENTO, ACONDICIONAMIENTO Y REPARA</t>
  </si>
  <si>
    <t>ALQUILERES DE MUEBLES E INMUEBLES</t>
  </si>
  <si>
    <t>MATERIALES Y UTILES</t>
  </si>
  <si>
    <t>REPUESTOS Y ACCESORIOS</t>
  </si>
  <si>
    <t>SERVICIOS ADMINISTRATIVOS, FINANCIEROS Y DE SEGUROS</t>
  </si>
  <si>
    <t>ENSERES</t>
  </si>
  <si>
    <t>SERVICIOS PROFESIONALES Y TECNICOS</t>
  </si>
  <si>
    <t>CONTRATO ADMINISTRATIVO DE SERVICIOS</t>
  </si>
  <si>
    <t>SUMINISTROS MEDICOS</t>
  </si>
  <si>
    <t>MATERIALES Y UTILES DE ENSEÑANZA</t>
  </si>
  <si>
    <t>SUMINISTROS PARA USO AGROPECUARIO, FORESTAL Y VETERIN</t>
  </si>
  <si>
    <t>COMPRA DE OTROS BIENES</t>
  </si>
  <si>
    <t>CAFAE MENSUAL (cada persona)</t>
  </si>
  <si>
    <t>UNIDADES EJECUTORAS O ENTIDADES PÚBLICAS ADSCRITAS AL SECTOR</t>
  </si>
  <si>
    <t>RESERVA DE CONTINGENCIA</t>
  </si>
  <si>
    <t>PERSONAL Y OBLIGAC. SOC.</t>
  </si>
  <si>
    <t>PENSIONES Y PREST. SOC.</t>
  </si>
  <si>
    <t>BIENES Y SERVICIOS</t>
  </si>
  <si>
    <t>DONACIONES TRANSFER.</t>
  </si>
  <si>
    <t>OTROS GASTOS</t>
  </si>
  <si>
    <t>SUB TOTAL GASTO CTE</t>
  </si>
  <si>
    <t>DONACIONES Y TRANSFER,</t>
  </si>
  <si>
    <t>ADQUIS. ACT. NO FINANC.</t>
  </si>
  <si>
    <t>ADQUIS. ACT. FINANC.</t>
  </si>
  <si>
    <t>SUB TOTAL GASTOS CAP.</t>
  </si>
  <si>
    <t xml:space="preserve">SERVICIO DE DEUDA </t>
  </si>
  <si>
    <t>SUB TOTAL SER. DEUDA</t>
  </si>
  <si>
    <t>Ley 30057 
(Ley del Servicio Civil)</t>
  </si>
  <si>
    <t>PLIEGOS DEL SECTOR O GOBIERNO REGIONAL</t>
  </si>
  <si>
    <t>Decreto Legislativo 1057 (Contrato Administrativo de Servicios</t>
  </si>
  <si>
    <t>(**) Incluye el monto pagado por otras entidades al personal que presta servidos en el Sector o Gobierno Regional</t>
  </si>
  <si>
    <t>Decreto Legislativo 1024 (Gerentes Públicos) (**)</t>
  </si>
  <si>
    <t>Ley 25650 (Fondo de Apoyo Generencial) (**)</t>
  </si>
  <si>
    <t>Ley 29806 (Personal Altamente Calificado) (**)</t>
  </si>
  <si>
    <t xml:space="preserve">(***) Detallar el marco legal </t>
  </si>
  <si>
    <t>Otros Servidores (especificar) (**) (***)</t>
  </si>
  <si>
    <t>(*) Incluye GRATIFICACIONES, CAFAE, PNUD, BONOS, PRODUCTIVIDAD, HORAS EXTRAS, GUARDIAS, AETAS, etc.</t>
  </si>
  <si>
    <t xml:space="preserve">Total </t>
  </si>
  <si>
    <t>S/ (****)</t>
  </si>
  <si>
    <t>S/ Anual (****)</t>
  </si>
  <si>
    <t>Practicantes (***)</t>
  </si>
  <si>
    <t>(****) Proyectado</t>
  </si>
  <si>
    <t>ARRENDATARIO</t>
  </si>
  <si>
    <t>ARRENDADOR</t>
  </si>
  <si>
    <t>DNI O PARTIDA REGISTRAL</t>
  </si>
  <si>
    <t>Apellidos y Nombres o Denominación</t>
  </si>
  <si>
    <t>INMUEBLE</t>
  </si>
  <si>
    <t>CONTRATO</t>
  </si>
  <si>
    <t>VIGENCIA DEL CONTRATO</t>
  </si>
  <si>
    <t>MONTO MENSUAL</t>
  </si>
  <si>
    <t>BIEN PROPIO DE TERCEROS O AJENO</t>
  </si>
  <si>
    <t>PARTIDA REGISTRAL DE INCRIPCION DE PROPIEDAD</t>
  </si>
  <si>
    <t>METROS CUADRADOS</t>
  </si>
  <si>
    <t>COCHERAS</t>
  </si>
  <si>
    <t xml:space="preserve">FORMA DE PAGO (MENSUAL O ANUAL) Y FECHA DE PAGO </t>
  </si>
  <si>
    <t>PIA TOTAL S/</t>
  </si>
  <si>
    <t>PIM TOTAL S/</t>
  </si>
  <si>
    <t>EJECUCIÓN TOTAL S/</t>
  </si>
  <si>
    <t>EJECUCIÓN 
POR FUENTE DE FINANCIAMIENTO</t>
  </si>
  <si>
    <t>PIM 
POR FUENTE DE FINANCIAMIENTO</t>
  </si>
  <si>
    <t>PIA 
POR FUENTE DE FINANCIAMIENTO</t>
  </si>
  <si>
    <t>1: Acciones Centrales (AC)</t>
  </si>
  <si>
    <t>2: Asignaciones Presupuestarias que No Resultan en Productos (APNP)</t>
  </si>
  <si>
    <t>3: Programas Presupuestales</t>
  </si>
  <si>
    <t>PIA
POR CATEGORIA PRESUPUESTAL</t>
  </si>
  <si>
    <t>PIM
POR CATEGORIA PRESUPUESTAL</t>
  </si>
  <si>
    <t>EJECUCIÓN
POR CATEGORIA PRESUPUESTAL</t>
  </si>
  <si>
    <t>PIA
POR PROGRAMA PRESUPUESTAL</t>
  </si>
  <si>
    <t>PIM
POR PROGRAMA PRESUPUESTAL</t>
  </si>
  <si>
    <t>EJECUCIÓN
POR PROGRAMA PRESUPUESTAL</t>
  </si>
  <si>
    <t>Decreto Legislativo 276 (Regimen Público)</t>
  </si>
  <si>
    <t>2019 (PIA)</t>
  </si>
  <si>
    <t>(*) DEBE COINCIDIR CON LOS MONTOS ASIGNADOS EN LA GENERICA 1. PERSONAL Y OBLIGACIONES SOCIALES CONSIDERADAS EN EL PRESUPUESTO</t>
  </si>
  <si>
    <t>INGRESOS PERSONAL PRESUPUESTO 2019</t>
  </si>
  <si>
    <t>TOTAL INGRESO ANUAL PEA (Proyección al 31 de diciembre de  2019)</t>
  </si>
  <si>
    <t>TOTAL INGRESO ANUAL PEA (Proyección al 31 de diciembre de 2020)</t>
  </si>
  <si>
    <t>PPTO 2019 
(PIA)</t>
  </si>
  <si>
    <t>Diferencia PIA (2019-2020)</t>
  </si>
  <si>
    <t>Variación % (2019-2020)</t>
  </si>
  <si>
    <t>(*) DEBE COINCIDIR CON LOS MONTOS ASIGNADOS EN LA GENERICA 3. BIENES Y SERVICIOS CONSIDERADAS EN EL PRESUPUESTO 2018 - 2019 - 2020</t>
  </si>
  <si>
    <t>EJECUCIÓN S/</t>
  </si>
  <si>
    <t>PPTO 2019 (AL 30/06)</t>
  </si>
  <si>
    <t>PPTO 2019 (PROYECCI{ON 31/12)</t>
  </si>
  <si>
    <t>(*) Una línea por cada año fiscal, consignado en monto presupuestado por cada año presupuestal</t>
  </si>
  <si>
    <t>PERSONA JURIDICA (RUC)</t>
  </si>
  <si>
    <t>PERSONA NATURAL (DNI)</t>
  </si>
  <si>
    <t xml:space="preserve">    - OTROS (ESPECIFIQUE)</t>
  </si>
  <si>
    <t>MONEDA</t>
  </si>
  <si>
    <t>FECHA DE APERTURA</t>
  </si>
  <si>
    <t>CUENTA</t>
  </si>
  <si>
    <t>BANCO / INSTITUCIÓN FINANCIERA</t>
  </si>
  <si>
    <t>CUENTAS BANCARIAS</t>
  </si>
  <si>
    <t>ESPECIFICACIONES RECURSOS PUBLICOS</t>
  </si>
  <si>
    <t>SALDO 2018 (*)</t>
  </si>
  <si>
    <t>SALDO 2019 (**)</t>
  </si>
  <si>
    <t>EJECUCIÓN 2018</t>
  </si>
  <si>
    <t>EJECUCIÓN 2019 (*)</t>
  </si>
  <si>
    <t>ÍNDICE DE FORMATOS</t>
  </si>
  <si>
    <t>INDICADORES DE GESTIÓN SEGÚN OBJETIVOS ESTRATÉGICOS INSTITUCIONALES AL 2021</t>
  </si>
  <si>
    <t>FORMATO Nº 1:</t>
  </si>
  <si>
    <t>FORMATO Nº 2:</t>
  </si>
  <si>
    <t>FORMATO Nº 3:</t>
  </si>
  <si>
    <t>FORMATO Nº 4:</t>
  </si>
  <si>
    <t>FORMATO Nº 5:</t>
  </si>
  <si>
    <t>FORMATO Nº 6:</t>
  </si>
  <si>
    <t>FORMATO Nº 7:</t>
  </si>
  <si>
    <t>FORMATO Nº 8:</t>
  </si>
  <si>
    <t>FORMATO Nº 9:</t>
  </si>
  <si>
    <t>FORMATO Nº 10:</t>
  </si>
  <si>
    <t>FORMATO Nº 11:</t>
  </si>
  <si>
    <t>FORMATO Nº 12:</t>
  </si>
  <si>
    <t>FORMATO Nº 13:</t>
  </si>
  <si>
    <t>FORMATO Nº 14:</t>
  </si>
  <si>
    <t>FORMATO Nº 15:</t>
  </si>
  <si>
    <t>FORMATO Nº 16:</t>
  </si>
  <si>
    <t>FORMATO Nº 17:</t>
  </si>
  <si>
    <t>FORMATO Nº 18:</t>
  </si>
  <si>
    <t>INDICADORES INSTITUCIONALES</t>
  </si>
  <si>
    <t>DISTRIBUCIÓN DEL GASTO</t>
  </si>
  <si>
    <t>GASTOS DE PERSONAL</t>
  </si>
  <si>
    <t>GASTOS EN BIENES Y SERVICIOS</t>
  </si>
  <si>
    <t>PPTO 2018 (AL 31/12)</t>
  </si>
  <si>
    <t>FORMATO 02: DISTRIBUCIÓN DEL PRESUPUESTO POR CATEGORÍA PRESUPUESTAL 2019, 2020 Y PROYECTO 2021</t>
  </si>
  <si>
    <t>2020 (*)</t>
  </si>
  <si>
    <t>2021 (**)</t>
  </si>
  <si>
    <t>(*) Proyección al 31/12/2020</t>
  </si>
  <si>
    <t>(**) Proyecto 2021</t>
  </si>
  <si>
    <t>FORMATO 03: DISTRIBUCIÓN DEL PRESUPUESTO POR FUENTE DE FINANCIAMIENTO 2019, 2020 Y PROYECTO 2021</t>
  </si>
  <si>
    <t>FORMATO 04: DISTRIBUCIÓN DEL GASTO POR UNIDADES EJECUTORAS / ENTIDAD PÚBLICA Y FUENTES DE FINANCIAMIENTO - PROYECTO 2021</t>
  </si>
  <si>
    <t>FORMATO 05: DISTRIBUCIÓN DEL PRESUPUESTO POR PROGRAMA PRESUPUESTAL 2019, 2020 Y 2021</t>
  </si>
  <si>
    <t>FORMATO 06: PROGRAMAS SOCIALES PRIORIZADOS SEGÚN EL CICLO DE VIDA POR FUENTE DE FINANCIAMIENTO 2019, 2020 Y PROYECTO 2021</t>
  </si>
  <si>
    <t>DIferencia 
(2019-2020</t>
  </si>
  <si>
    <t>Proyecto 2021</t>
  </si>
  <si>
    <t>Estimado 2020 (**)</t>
  </si>
  <si>
    <t>DIferencia 
(2020-2021)</t>
  </si>
  <si>
    <t>(*) Al 30 de junio de 2020</t>
  </si>
  <si>
    <t>(**) Estimado al 31 de diciembre de 2020</t>
  </si>
  <si>
    <t>FORMATO 07: RESUMEN POR GRUPO GENÉRICO Y FUENTES DE FINANCIAMIENTO PROYECTO 2021</t>
  </si>
  <si>
    <t>GASTO CORRIENTE 2021</t>
  </si>
  <si>
    <t>GASTO CAPITAL 2021</t>
  </si>
  <si>
    <t>SERVICIO DE DEUDA 2021</t>
  </si>
  <si>
    <t>FORMATO 08: RESUMEN DE PRESUPUESTO POR FUNCIONES PIA 2019, 2020 Y PROYECTO 2021</t>
  </si>
  <si>
    <t>Var. % (2020-2021)</t>
  </si>
  <si>
    <t>2020 (JUNIO)</t>
  </si>
  <si>
    <t>PROYECCIÓN 2021 (JUNIO)</t>
  </si>
  <si>
    <t>FORMATO 09: COMPARATIVO DEL NÚMERO DE PLAZAS EN EL PRESUPUESTO  2020 Y PROYECTO 2021</t>
  </si>
  <si>
    <t>2020 (PIA)</t>
  </si>
  <si>
    <t>2021  (PROYECTO)</t>
  </si>
  <si>
    <t>FORMATO 12: ASIGNACIÓN DE BIENES Y SERVICIOS - COMPARATIVO PRESUPUESTO 2019, 2020 Y PROYECTO 2021</t>
  </si>
  <si>
    <t>PPTO 2019 (PIM)</t>
  </si>
  <si>
    <t>PPTO 2020 
(PIA)</t>
  </si>
  <si>
    <t>PPTO 2020
(PIM 30 JUNIO)</t>
  </si>
  <si>
    <t>PPTO 2021 (PROYECTO)</t>
  </si>
  <si>
    <t>Variación % (2020-2021)</t>
  </si>
  <si>
    <t>Diferencia PIA (2020-2021)</t>
  </si>
  <si>
    <t>FORMATO 13: CONTRATOS DE OBRAS SUSCRITOS EN LOS AÑOS 2019 Y 2020</t>
  </si>
  <si>
    <t>FORMATO 14: PRINCIPALES ADQUISICIONES DE BIENES Y SERVICIOS - PRESUPUESTO 2019, 2020 Y PROYECTO 2021</t>
  </si>
  <si>
    <t>FORMATO 15: DETALLE DE CONSULTORIAS PERSONAS JURÍDICAS Y NATURALES - PRESUPUESTO 2019 Y 2020</t>
  </si>
  <si>
    <t>FORMATO 16: TESORERIA - RESUMEN POR GRUPO GENERICO Y FUENTES DE FINANCIAMIENTO 2019 Y 2020</t>
  </si>
  <si>
    <t>(*) Saldo al 31 de Diciembre de 2019</t>
  </si>
  <si>
    <t>(**) Saldo al 30 de Junio de 2020</t>
  </si>
  <si>
    <t>FORMATO 17: NOMBRES E INGRESOS MENSUALES DEL PERSONAL CONTRATADO FUERA DEL PAP EN LOS AÑOS FISCALES 2019 Y 2020</t>
  </si>
  <si>
    <t>FORMATO 18: ALQUILER DE INMUEBLES EN LOS AÑOS FISCALES 2019 Y 2020</t>
  </si>
  <si>
    <t>(*) = Al 30 de junio de 2020</t>
  </si>
  <si>
    <t>FORMATO 11: INGRESOS MENSUALES POR PERIODO DEL PERSONAL ACTIVO -  COMPARATIVO PRESUPUESTO 2019, 2020 Y PROYECTO 2021</t>
  </si>
  <si>
    <t>INGRESOS PERSONAL PRESUPUESTO 2020</t>
  </si>
  <si>
    <t>PROYECTO 2021</t>
  </si>
  <si>
    <t>DIFERENCIA 
(2019 -2020)</t>
  </si>
  <si>
    <t>DISTRIBUCIÓN DEL PRESUPUESTO POR CATEGORÍA PRESUPUESTAL 2019, 2020 Y PROYECTO 2021</t>
  </si>
  <si>
    <t>DISTRIBUCIÓN DEL PRESUPUESTO POR FUENTE DE FINANCIAMIENTO 2019, 2020 Y PROYECTO 2021</t>
  </si>
  <si>
    <t>DISTRIBUCIÓN DEL GASTO POR UNIDADES EJECUTORAS / ENTIDAD PÚBLICA Y FUENTES DE FINANCIAMIENTO - PROYECTO 2021</t>
  </si>
  <si>
    <t>DISTRIBUCIÓN DEL PRESUPUESTO POR PROGRAMA PRESUPUESTAL 2019, 2020 Y 2021</t>
  </si>
  <si>
    <t>PROGRAMAS SOCIALES PRIORIZADOS SEGÚN EL CICLO DE VIDA POR FUENTE DE FINANCIAMIENTO 2019, 2020 Y PROYECTO 2021</t>
  </si>
  <si>
    <t>RESUMEN POR GRUPO GENÉRICO Y FUENTES DE FINANCIAMIENTO PROYECTO 2021</t>
  </si>
  <si>
    <t>RESUMEN DE PRESUPUESTO POR FUNCIONES PIA 2019, 2020 Y PROYECTO 2021</t>
  </si>
  <si>
    <t>COMPARATIVO DEL NÚMERO DE PLAZAS EN EL PRESUPUESTO 2019, 2020 Y PROYECTO 2021</t>
  </si>
  <si>
    <t>INFORMACIÓN DE REMUNERACIONES Y NÚMERO DE PLAZAS - PRESUPUESTO 2019, 2020 Y PROYECTO 2021</t>
  </si>
  <si>
    <t>INGRESOS MENSUALES POR PERIODO DEL PERSONAL ACTIVO -  COMPARATIVO PRESUPUESTO 2019, 2020 Y PROYECTO 2021</t>
  </si>
  <si>
    <t>ASIGNACIÓN DE BIENES Y SERVICIOS - COMPARATIVO PRESUPUESTO 2019, 2020 Y PROYECTO 2021</t>
  </si>
  <si>
    <t>CONTRATOS DE OBRAS SUSCRITOS EN LOS AÑOS 2019 Y 2020</t>
  </si>
  <si>
    <t>PRINCIPALES ADQUISICIONES DE BIENES Y SERVICIOS - PRESUPUESTO 2019, 2020 Y PROYECTO 2021</t>
  </si>
  <si>
    <t>DETALLE DE CONSULTORIAS PERSONAS JURÍDICAS Y NATURALES - PRESUPUESTO 2019, 2020 Y PROYECTO 2021</t>
  </si>
  <si>
    <t>TESORERIA - RESUMEN POR GRUPO GENERICO Y FUENTES DE FINANCIAMIENTO 2019 Y 2020</t>
  </si>
  <si>
    <t>NOMBRES E INGRESOS MENSUALES DEL PERSONAL CONTRATADO FUERA DEL PAP EN LOS AÑOS FISCALES 2019 Y 2020</t>
  </si>
  <si>
    <t>ALQUILER DE INMUEBLES EN LOS AÑOS FISCALES 2019 Y 2020</t>
  </si>
  <si>
    <t>SECTOR 16:  ENERGÍA Y MINAS</t>
  </si>
  <si>
    <t>016. M. DE ENERGIA Y MINAS</t>
  </si>
  <si>
    <t>001. MINISTERIO DE ENERGIA Y MINAS-CENTRAL</t>
  </si>
  <si>
    <t>005. DIRECCION GENERAL DE ELECTRIFICACION RURAL</t>
  </si>
  <si>
    <t>001. INSTITUTO PERUANO DE ENERGIA NUCLEAR</t>
  </si>
  <si>
    <t>001. INSTITUTO GEOLOGICO MINERO Y METALURGICO</t>
  </si>
  <si>
    <t>220. INSTITUTO PERUANO DE ENERGIA NUCLEAR</t>
  </si>
  <si>
    <t>221. INSTITUTO GEOLOGICO MINERO Y METALURGICO</t>
  </si>
  <si>
    <t>RECURSOS PÚBLICOS</t>
  </si>
  <si>
    <t>Recursos Ordinarios</t>
  </si>
  <si>
    <t>Recursos Directamente Recaudados</t>
  </si>
  <si>
    <t>Donaciones y Transferencias</t>
  </si>
  <si>
    <t>Recursos Determinados</t>
  </si>
  <si>
    <t xml:space="preserve">0046. Acceso y Uso de la Electrificación Rural </t>
  </si>
  <si>
    <t>0068. Reducción de Vulnerabilidad y Atención de Emergencias por Desastres</t>
  </si>
  <si>
    <t>0120. Remediación de Pasivos Ambientales Mineros</t>
  </si>
  <si>
    <t>0126. Formalización Minera de la Pequeña Mineria y Minería Artesanal</t>
  </si>
  <si>
    <t>0128. Reducción de la Minería Ilegal</t>
  </si>
  <si>
    <t>0137. Desarrollo de la Ciencia, Tecnología e Innovación Tecnológica</t>
  </si>
  <si>
    <t>2. RECURSOS DIRECTAMENTE RECAUDADOS</t>
  </si>
  <si>
    <t xml:space="preserve">    - CUT- RDR</t>
  </si>
  <si>
    <t>001 - 185 MEM-CENTRAL</t>
  </si>
  <si>
    <t xml:space="preserve">    - CUENTA ORDINARIA CENTRALIZADORA - RDR</t>
  </si>
  <si>
    <t xml:space="preserve">    - CUENTA ADICIONAL - TUPA - DGH - ADMINISTRACION</t>
  </si>
  <si>
    <t xml:space="preserve">    - CUENTA ADICIONAL - TUPA - DGE - CONCESIONES ELECTRICAS</t>
  </si>
  <si>
    <t xml:space="preserve">    - CUENTA ADICIONAL - TUPA - DGM - DGAA - MULTAS Y SANCIONES</t>
  </si>
  <si>
    <t xml:space="preserve">    - CUENTA ADICIONAL - APORT. PERUPETRO - DERECHO VIGENCIA</t>
  </si>
  <si>
    <t xml:space="preserve">    - CUENTA ADICIONAL - ELECTRIFICACION RURAL</t>
  </si>
  <si>
    <t xml:space="preserve">    - CUENTA ADICIONAL - CONCESIONES ELECTRICAS LEY 25844</t>
  </si>
  <si>
    <t xml:space="preserve"> DGETP-CUT - RDR</t>
  </si>
  <si>
    <t>SOLES</t>
  </si>
  <si>
    <t xml:space="preserve">BANCO DE LA NACION </t>
  </si>
  <si>
    <t>0000-282677</t>
  </si>
  <si>
    <t>OCT * 2001</t>
  </si>
  <si>
    <t>0000-283576</t>
  </si>
  <si>
    <t>0000-283584</t>
  </si>
  <si>
    <t>0000-283592</t>
  </si>
  <si>
    <t>06-000-028884</t>
  </si>
  <si>
    <t>DOLARES</t>
  </si>
  <si>
    <t>0000-866903</t>
  </si>
  <si>
    <t>JUL * 2007</t>
  </si>
  <si>
    <t>0068-377854</t>
  </si>
  <si>
    <t>MAY * 2018</t>
  </si>
  <si>
    <t xml:space="preserve">    - CUT- TRANSFERENCIAS </t>
  </si>
  <si>
    <t xml:space="preserve"> DGETP-CUT - DYT</t>
  </si>
  <si>
    <t xml:space="preserve">SOLES </t>
  </si>
  <si>
    <t xml:space="preserve">    - CUENTA - DONACIONES BANCO MUNDIAL - PROYECTO EITI</t>
  </si>
  <si>
    <t>000-68334144</t>
  </si>
  <si>
    <t>MAY * 2005</t>
  </si>
  <si>
    <t>06-068000732</t>
  </si>
  <si>
    <t>OCT * 2013</t>
  </si>
  <si>
    <t xml:space="preserve">    - CUENTA - TRANSFERENCIAS DEL OSINERGMIN ( CARELEC )</t>
  </si>
  <si>
    <t>00-00-425591</t>
  </si>
  <si>
    <t xml:space="preserve">    - CANON  Y  SOBRECANON, REGALIAS Y PARTICIPACIONES</t>
  </si>
  <si>
    <t xml:space="preserve">      CUENTA ADICIONAL - RET 10 % GARANTIA - LEY MYPES</t>
  </si>
  <si>
    <t>0000-874922</t>
  </si>
  <si>
    <t>SET * 2008</t>
  </si>
  <si>
    <t xml:space="preserve">      CUENTA ADICIONAL PLAZO FIJO - GARANTIA FINANCIERA-DOE RUN</t>
  </si>
  <si>
    <t xml:space="preserve">17-000-029769 </t>
  </si>
  <si>
    <t>FEB * 2010</t>
  </si>
  <si>
    <t xml:space="preserve">      CUENTA ADICIONAL - CARTA FIANZA</t>
  </si>
  <si>
    <t xml:space="preserve">06-068-001933 </t>
  </si>
  <si>
    <t>OCT*2018</t>
  </si>
  <si>
    <t xml:space="preserve">      PAGO DE REMUNERACIONES PERSONAL CAP Y CAS</t>
  </si>
  <si>
    <t xml:space="preserve">001 - MEM CENTRAL </t>
  </si>
  <si>
    <t>BANCO SCOTIABANK</t>
  </si>
  <si>
    <t>00044-107-000645</t>
  </si>
  <si>
    <t>SET * 1999</t>
  </si>
  <si>
    <t>BANCO CONTINENTAL</t>
  </si>
  <si>
    <t xml:space="preserve">0011-0661-0100041132 </t>
  </si>
  <si>
    <t>SET * 2009</t>
  </si>
  <si>
    <t>BANCO DE CREDITO</t>
  </si>
  <si>
    <t>193-2455076-0-46</t>
  </si>
  <si>
    <t>SET*2017</t>
  </si>
  <si>
    <t xml:space="preserve">      RECAUDACIÓN MULTA - DGM</t>
  </si>
  <si>
    <t>0011-0661-0100072127</t>
  </si>
  <si>
    <t>JUL*2018</t>
  </si>
  <si>
    <t xml:space="preserve"> DGETP-CUT - RD</t>
  </si>
  <si>
    <t>TOTAL S/</t>
  </si>
  <si>
    <t>TOTAL US$</t>
  </si>
  <si>
    <t>3.- RECURSOS OPERACIONES OFICIALES DE CRÉDITO EXTERNO</t>
  </si>
  <si>
    <t>PLIEGO 016: MINISTERIO DE ENERGÍA Y MINAS</t>
  </si>
  <si>
    <t>SALDO 2019 (*)</t>
  </si>
  <si>
    <t>SALDO 2020 (**)</t>
  </si>
  <si>
    <t>005-280 MEM-DGER</t>
  </si>
  <si>
    <t>BANCO DE LA NACION</t>
  </si>
  <si>
    <t>00-000-870994</t>
  </si>
  <si>
    <t>enero - 08</t>
  </si>
  <si>
    <t>DGETP-CUT-RDR</t>
  </si>
  <si>
    <t>enero - 13</t>
  </si>
  <si>
    <t>00-000-870986</t>
  </si>
  <si>
    <t>00-000-870943</t>
  </si>
  <si>
    <t>00-000-874124</t>
  </si>
  <si>
    <t>julio - 08</t>
  </si>
  <si>
    <t>00-000-874116</t>
  </si>
  <si>
    <t>00-000-872083</t>
  </si>
  <si>
    <t>marzo - 08</t>
  </si>
  <si>
    <t>06-000-033284</t>
  </si>
  <si>
    <t>abril - 08</t>
  </si>
  <si>
    <t>DEGTP-CUT-R.D.- "D"</t>
  </si>
  <si>
    <t>julio - 09</t>
  </si>
  <si>
    <t>DEGTP-CUT-R.D.- "15"</t>
  </si>
  <si>
    <t>julio - 14</t>
  </si>
  <si>
    <t>DEGTP-CUT-R.D.- "Y"</t>
  </si>
  <si>
    <t>agosto - 13</t>
  </si>
  <si>
    <t>00-000-873276</t>
  </si>
  <si>
    <t>mayo - 08</t>
  </si>
  <si>
    <t>00-068-375428</t>
  </si>
  <si>
    <t>marzo - 18</t>
  </si>
  <si>
    <t xml:space="preserve">          - FDO.GARANTIA</t>
  </si>
  <si>
    <t xml:space="preserve">          - EJEC. GARANTIAS</t>
  </si>
  <si>
    <t>PLIEGO: 220 INSTITUTO PERUANO DE ENERGIA NUCLEAR</t>
  </si>
  <si>
    <t>001-188 IPEN</t>
  </si>
  <si>
    <t>BANCO DE LA NACION - CUT</t>
  </si>
  <si>
    <t>00-000-300780</t>
  </si>
  <si>
    <t>00-000-282693</t>
  </si>
  <si>
    <t>06-000-028914</t>
  </si>
  <si>
    <t xml:space="preserve">DOLARES US $ </t>
  </si>
  <si>
    <t>00-000-505854</t>
  </si>
  <si>
    <t>00-068-375673</t>
  </si>
  <si>
    <t>00-068-379946</t>
  </si>
  <si>
    <t>00-000-622923</t>
  </si>
  <si>
    <t>00-068-229324</t>
  </si>
  <si>
    <t>(***) t/cambio: 31/12/2019:    107,773.02 x 3.311 = S/ 356,836.47</t>
  </si>
  <si>
    <t>(***) t/cambio: 30/06/2020:    122,800.03 x 3.534 = S/ 433,975.31</t>
  </si>
  <si>
    <t>PLIEGO: 221 INSTITUTO GEOLOGICO MINERO Y METALURGICO</t>
  </si>
  <si>
    <t>001 - 189 INGEMMET</t>
  </si>
  <si>
    <t>BANCO DE LA NACIÓN</t>
  </si>
  <si>
    <t>00000-300799</t>
  </si>
  <si>
    <t>Nuevos Soles</t>
  </si>
  <si>
    <t>00000-282707</t>
  </si>
  <si>
    <t>06000-028868</t>
  </si>
  <si>
    <t>Dólares</t>
  </si>
  <si>
    <t>00068-354560</t>
  </si>
  <si>
    <t>00068-360838</t>
  </si>
  <si>
    <t>ADQUISICIÓN DE REACTIVOS QUIMICOS FISCALIZADOS</t>
  </si>
  <si>
    <t>CONTRATACION DIRECTA</t>
  </si>
  <si>
    <t>DIRECTA-PROC-1-2019-INGEMMET/OA-UL-1</t>
  </si>
  <si>
    <t>20100099447 -
 MERCK PERUANA S A</t>
  </si>
  <si>
    <t>CONCLUIDO</t>
  </si>
  <si>
    <t>21.05.2019</t>
  </si>
  <si>
    <t>25.10.2019</t>
  </si>
  <si>
    <t>ADQUISICIÓN DE DISCOS ABRASIVOS Y DISCOS PARA ESMERILADO</t>
  </si>
  <si>
    <t>ADJUDICACION SIMPLIFICADA</t>
  </si>
  <si>
    <t>AS-SM-16-2019-INGEMMET/CS-2</t>
  </si>
  <si>
    <t>20604222428 - VC PARTS AND SERVICES E.I.R.L. - VC PARTS E.I.R.L.</t>
  </si>
  <si>
    <t>04.10.2019</t>
  </si>
  <si>
    <t>23.12.2019</t>
  </si>
  <si>
    <t>ADQUISICIÓN DE PASTA DE DIAMANTE Y SIERRA DE DIAMANTE</t>
  </si>
  <si>
    <t>AS-SM-7-2019-INGEMMET/CS-2</t>
  </si>
  <si>
    <t>20511558230 - A &amp; M SUPPLY S.A.C.</t>
  </si>
  <si>
    <t>19.09.2019</t>
  </si>
  <si>
    <t>10.11.2019</t>
  </si>
  <si>
    <t>ADQUISICION DE CHANCADORA PARA MINERALES DE LABORATORIO</t>
  </si>
  <si>
    <t>AS-SM-13-2019-INGEMMET/CS-2</t>
  </si>
  <si>
    <t>20292025671 - ASESORIAS Y REPRESENTACIONES ANALITICAS S.R.L.</t>
  </si>
  <si>
    <t>28.11.2019</t>
  </si>
  <si>
    <t>ADQUISICIÓN DE UNIFORMES DE CAMPO</t>
  </si>
  <si>
    <t>AS-SM-49-2019-INGEMMET/CS-1</t>
  </si>
  <si>
    <t>BASES ADMINISTRATIVAS</t>
  </si>
  <si>
    <t>SERVICIO DE DATACIONES E ISOTOPOS DIVERSOS</t>
  </si>
  <si>
    <t>CONTRATACION INTERNACIONAL</t>
  </si>
  <si>
    <t>INTER-PROC-8-2019-INGEMMET/OA-UL-1</t>
  </si>
  <si>
    <t>RYAN MATHUR</t>
  </si>
  <si>
    <t>05.11.2019</t>
  </si>
  <si>
    <t>ADQUISICIÓN DE ACCESORIOS PARA EQUIPO ICP-OES. MARCA AGILENT TECHNOLOGIES O EQUIVALENTE CON AUTOMUESTREADOR MARCA TELEDYNE CETAC TECHNOLOGIES</t>
  </si>
  <si>
    <t xml:space="preserve">AS-SM-38-2019-INGEMMET/CS-1 </t>
  </si>
  <si>
    <t>20602450199 - AVILES URIBE SAC</t>
  </si>
  <si>
    <t>05.12.2019</t>
  </si>
  <si>
    <t>ADQUISICION DE CAMARAS FOTOGRAFICAS DIGITALES PARA EL INGEMMET</t>
  </si>
  <si>
    <t>AS-SM-37-2019-INGEMMET/CS-1</t>
  </si>
  <si>
    <t>20505818297 -IMPORTADORA Y DISTRIBUIDORA UDENIO S.R.L.</t>
  </si>
  <si>
    <t>13.12.2019</t>
  </si>
  <si>
    <t>15.12.2019</t>
  </si>
  <si>
    <t>CONTRATACION DE SEGURO DE BIENES MUEBLES E INMUEBLES</t>
  </si>
  <si>
    <t>AS-SM-50-2019-INGEMMET/CS-1</t>
  </si>
  <si>
    <t>CONVOCATORIA</t>
  </si>
  <si>
    <t>SERVICIO DE NOTIFICACIÓN DE LOS ACTOS ADMINISTRATIVOS RELACIONADOS AL
PROCEDIMIENTO MINERO - CONTRATO 062-2019 POR S/ 274,793.00</t>
  </si>
  <si>
    <t>CONCURSO PUBLICO</t>
  </si>
  <si>
    <t>CP-SM-2-2019-INGEMMET/CS-1</t>
  </si>
  <si>
    <t>20553892253 - CA &amp; PE CARGO S.A.C.</t>
  </si>
  <si>
    <t>09.12.2019</t>
  </si>
  <si>
    <t>Dic. 2020</t>
  </si>
  <si>
    <t>SERVICIO DE MENSAJERIA LOCAL Y NACIONAL</t>
  </si>
  <si>
    <t>CP-SM-3-2019-INGEMMET/CS-1</t>
  </si>
  <si>
    <t>CONSULTAS Y OBSERVACIONES</t>
  </si>
  <si>
    <t>SERVICIO DE SEGURIDAD Y VIGILANCIA DEL INGEMMET - SEDES LIMA</t>
  </si>
  <si>
    <t>CP-SM-1-2019-INGEMMET/CS-1</t>
  </si>
  <si>
    <t>BUENA PRO</t>
  </si>
  <si>
    <t>SERVICIO DE FOTOCOPIADO PARA EL INGEMMET</t>
  </si>
  <si>
    <t>AS-SM-47-2019-INGEMMET/CS-1</t>
  </si>
  <si>
    <t>SERVICIO DE MANTENIMIENTO DE LICENCIAS CITRIX</t>
  </si>
  <si>
    <t>AS-SM-36-2019-INGEMMET/CS-1</t>
  </si>
  <si>
    <t>RUC N° 20516530686 - GRUPO ELECTRODATA S.A.C.</t>
  </si>
  <si>
    <t>18.11.2019</t>
  </si>
  <si>
    <t>SERVICIO DE SOPORTE Y ACTUALIZACION DE LICENCIAS ORACLE O EQUIVALENTE</t>
  </si>
  <si>
    <t>DIRECTA-PROC-5-2019-INGEMMET/OA-UL-1</t>
  </si>
  <si>
    <t>20182246078 - SISTEMAS ORACLE DEL PERU S.R.L.</t>
  </si>
  <si>
    <t>17.10.2019</t>
  </si>
  <si>
    <t>Nov. 2020</t>
  </si>
  <si>
    <t>SERVICIO DE GARANTIA EXTENDIDA DEL SISTEMA DE ALMACENAMIENTO HP 3PAR O EQUIVALENTE</t>
  </si>
  <si>
    <t>AS-SM-22-2019-INGEMMET/CS-2</t>
  </si>
  <si>
    <t>20600800281 - D2D SOLUTIONS S.A.C.</t>
  </si>
  <si>
    <t>25.09.2019</t>
  </si>
  <si>
    <t>Oct. 2020</t>
  </si>
  <si>
    <t>DIRECTA-PROC-7-2019-INGEMMET/OA-UL-1</t>
  </si>
  <si>
    <t>ADQUISICIÓN DE EQUIPOS DE CÓMPUTO (LAPTOP) ALTO RENDIMIENTO PARA TRABAJO DE CAMPO</t>
  </si>
  <si>
    <t>AS-SM-32-2019-INGEMMET/CS-1</t>
  </si>
  <si>
    <t>20600898222 - CLOUDTECH E.I.R.L.</t>
  </si>
  <si>
    <t xml:space="preserve">SERVICIO DE ANÁLISIS DE PARÁMETRO FÍSICO – QUÍMICOS E INORGÁNICOS EN AGUAS SUPERFICIALES Y SUBTERRÁNEAS PARA LA DGAR </t>
  </si>
  <si>
    <t>AS-SM-35-2019-INGEMMET/CS-1</t>
  </si>
  <si>
    <t>20504979092 - ALS LS PERU S.A.C.</t>
  </si>
  <si>
    <t>SERVICIO DE ANALISIS QUIMICO DE AGUA</t>
  </si>
  <si>
    <t>AS-SM-43-2019-INGEMMET/CS-2</t>
  </si>
  <si>
    <t>ADQUISICION DE TABLETS PARA LABORES DE GEOLOGIA</t>
  </si>
  <si>
    <t>AS-SM-42-2019-INGEMMET/CS-1</t>
  </si>
  <si>
    <t>20548328854 -MG INDUSTRIAL SOLUTIONS S.A.C.-MG INDUSOL S.A.C.</t>
  </si>
  <si>
    <t>06.12.2019</t>
  </si>
  <si>
    <t>ADQUISICION DE HORNO DE FUSION ELECTRICA</t>
  </si>
  <si>
    <t>AS-SM-44-2019-INGEMMET/CS-1</t>
  </si>
  <si>
    <t>PRESENTACION DE OFERTAS</t>
  </si>
  <si>
    <t xml:space="preserve">ADQUISICIÓN DE ACCESORIOS PARA EQUIPO ICP-MS, MARCA PERKIN ELMER O EQUIVALENTE </t>
  </si>
  <si>
    <t>DIRECTA-PROC-6-2019-INGEMMET/OA-UL-1</t>
  </si>
  <si>
    <t>20212980774 - CIENTIFICA ANDINA S.A.C.</t>
  </si>
  <si>
    <t>19.12.2019</t>
  </si>
  <si>
    <t>SERVICIO DE MANTENIMIENTO CORRECTIVO DE LA FLOTA VEHICULAR DEL INGEMMET</t>
  </si>
  <si>
    <t>CP-SM-5-2019-INGEMMET/CS-1</t>
  </si>
  <si>
    <t>ADQUISICIÓN DE MOLINO PLANETARIO DE ÁGATA</t>
  </si>
  <si>
    <t>AS-SM-48-2019-INGEMMET/CS-1</t>
  </si>
  <si>
    <t>SERVICIO DE CATERING Y ALQUILER DE EQUIPOS DE AUDIO Y VIDEO PARA LA CONVENCIÓN ANUAL PROSPECTORS AND DEVELOPERS ASSOCIATION OF CANADA  – PDAC 2020</t>
  </si>
  <si>
    <t>INTER-PROC-15-2019-INGEMMET/OA -UL-1</t>
  </si>
  <si>
    <t>SERVICIO DE SOPORTE Y MANTENIMIENTO DE LICENCIA DE SOFTWARE MATLAB
(EN SEACE DICE: SERVICIO DE SUSCRIPCION DEL SOFTWARE MATLAB O EQUIVALENTE)</t>
  </si>
  <si>
    <t>INTER-PROC-1-2020-INGEMMET/OA-UL-1</t>
  </si>
  <si>
    <t>THE MATHWORKS LTD</t>
  </si>
  <si>
    <t>A CONVOCARSE</t>
  </si>
  <si>
    <t xml:space="preserve">SERVICIO DE SEGURIDAD VIGILANCIA PARA LA SEDE - AREQUIPA INGEMMET </t>
  </si>
  <si>
    <t>AS-SM-4-2020-INGEMMET/OA -UL-1</t>
  </si>
  <si>
    <t>EVALUACION Y CALIFICACION</t>
  </si>
  <si>
    <t>SERVICIO DE SOPORTE Y  MANTENIMIENTO DE LICENCIA DE SOFTWARE  LIFERAY EE O EQUIVALENTE</t>
  </si>
  <si>
    <t>AS-SM-14-2020-INGEMMET/CS-1</t>
  </si>
  <si>
    <t>SERVICIO DE GARANTIA EXTENDIDA PARA FILTRO DE CONTENIDO</t>
  </si>
  <si>
    <t>AS-SM-10-2020-INGEMMET/CS-1</t>
  </si>
  <si>
    <t>SERVICIO DE GARANTIA EXTENDIDA PARA PROTECCION WEB</t>
  </si>
  <si>
    <t>AS-SM-11-2020-INGEMMET/CS-1</t>
  </si>
  <si>
    <t>SERVICIO DE MANTENIMIENTO PREVENTIVO DE POZO A TIERRA</t>
  </si>
  <si>
    <t>AS-SM-8-2020-INGEMMET/OA-UL-1</t>
  </si>
  <si>
    <t>SERVICIO DE SUSCRIPCION DE LOS SOFTWARE AUTOCAD MAP 3D Y AUTOCAD CIVIL 3D DE LA MARCA AUTODEK O EQUIVALENTE</t>
  </si>
  <si>
    <t>AS-SM-9-2020-INGEMMET/CS-1</t>
  </si>
  <si>
    <t>ADQUISICIÓN DE UNIFORME DE VERANO E INVIERNO PARA DAMAS Y CABALLEROS</t>
  </si>
  <si>
    <t>ADQUISICION DE SOLUCION INTEGRAL ANTIVIRUS PARA ESTACIONES DE TRABAJO Y SERVIDORES</t>
  </si>
  <si>
    <t>ADQUISICIÓN DE GAS ARGÓN</t>
  </si>
  <si>
    <t>SERVICIO DE SEGURO COMPLEMENTARIO DE TRABAJO DE RIESGO (SCTR)</t>
  </si>
  <si>
    <t>SERVICIO DE TRASLADO DE VALORES</t>
  </si>
  <si>
    <t>SERVICIO DE TELEFONIA MOVIL</t>
  </si>
  <si>
    <t>SERVICIO DE MANTENIMIENTO DE LICENCIAS CITRIX O EQUIVALENTE</t>
  </si>
  <si>
    <t>SERVICIO DE NOTIFICACIÓN DE LOS ACTOS ADMINISTRATIVOS RELACIONADOS AL PROCEDIMIENTO MINERO</t>
  </si>
  <si>
    <t>SERVICIO DE TRANSMISION DE VOZ Y DATOS (INTERNET Y TELEFONIA)</t>
  </si>
  <si>
    <t>SERVICIO DE MANTENIMIENTO PREVENTIVO Y CORRECTIVO DE VEHICULOS DE TRANSPORTE TERRESTRE</t>
  </si>
  <si>
    <t>SERVICIO DE ALQUILER DE VEHICULOS PARA TRABAJOS DE CAMPO</t>
  </si>
  <si>
    <t>PLIEGO 221:  INSTITUTO GEOLOGICO MINERO Y METALURGICO</t>
  </si>
  <si>
    <t>PLIEGO 221: INSTITUTO GEOLOGICO MINERO Y METALURGICO</t>
  </si>
  <si>
    <t>PLIEGO 220: INSTITUTO PERUANO DE ENERGÍA NUCLEAR</t>
  </si>
  <si>
    <t>180 d. cal.</t>
  </si>
  <si>
    <t>MARTA PEÑA CONSTRUCTORES S.A.C., R.U.C. N° 20487038017</t>
  </si>
  <si>
    <t>LP-0007-2019-MINEM/DGER</t>
  </si>
  <si>
    <t>LLAVE EN MANO</t>
  </si>
  <si>
    <t>2. ELECTRIFICACION RURAL EN LAS LOCALIDADES DE LOS DISTRITOS DE ACOBAMBA, MARCAS, CAJA ESPIRITU Y POMACOCHA - PROVINCIA DE ACOBAMBA</t>
  </si>
  <si>
    <t xml:space="preserve"> SIPA CONTRATISTAS GENERALES S.R.L., R.U.C. N° 20363610936</t>
  </si>
  <si>
    <t>LP-0006-2019-MINEM/DGER</t>
  </si>
  <si>
    <t>LICITACIÓN PÚBLICA</t>
  </si>
  <si>
    <t>1. EJECUCIÓN DE LA OBRA "AMPLIACIÓN DEL SUBSISTEMA DE DISTRIBUCIÓN PRIMARIA Y SECUNDARIA 22,9/0.380-0.220 KV. DE LAS LOCALIDADES MARGINALES DE LA CIUDAD DE CRUCERO, DISTRITO DE CRUCERO - CARABAYA - PUNO"</t>
  </si>
  <si>
    <t>CONTRATOS DE OBRAS SUSCRITOS EN EL AÑO 2020</t>
  </si>
  <si>
    <t>420 d. cal.</t>
  </si>
  <si>
    <t>CMP CONTRATISTAS GENERALES S.R.L., R.U.C. N° 20393292637</t>
  </si>
  <si>
    <t>LP-0002-2019-MINEM/DGER</t>
  </si>
  <si>
    <t>9. EJECUCIÓN DE LA OBRA "AMPLIACIÓN DEL SERVICIO DE ENERGÍA ELÉCTRICA EN EL VALLE SANTA CRUZ II ETAPA Y SELVA DE ORO DEL DISTRITO DE RÍO TAMBO, SATIPO - JUNÍN"</t>
  </si>
  <si>
    <t>CONSORCIO SAMI (SMART SYSTEMS S.A. y SMART NET S.A.), R.U.C. N° 20600016521</t>
  </si>
  <si>
    <t>AS-0006-2019-MINEM/DGER</t>
  </si>
  <si>
    <t>ADJUDICACIÓN SIMPLIFICADA</t>
  </si>
  <si>
    <t>8. EJECUCIÓN DE LA OBRA “ELECTRIFICACIÓN RURAL DE 09 LOCALIDADES DEL DISTRITO DE HUANDO – PROVINCIA DE HUANCAVELICA”</t>
  </si>
  <si>
    <t>120 d. cal.</t>
  </si>
  <si>
    <t xml:space="preserve">CONSORCIO A&amp;R (ALBURQUEQUE RIOS ALEXANDER AGUSTIN y CORPORACION R Y C CONTRATISTAS GENERALES S.A.C.), R.U.C. N° 10036763014 </t>
  </si>
  <si>
    <t>AS-0003-2019-MINEM/DGER</t>
  </si>
  <si>
    <t>7. EJECUCIÓN DEL SALDO DE OBRA “MEJORAMIENTO Y AMPLIACIÓN DEL SISTEMA DE ELECTRIFICACIÓN DE LA RED PRIMARIA Y SECUNDARIA DE LOS CENTROS POBLADOS Y CASERÍOS DE JANGAS, DISTRITO DE JANGAS - HUARAZ - ÁNCASH”</t>
  </si>
  <si>
    <t>360 d. cal.</t>
  </si>
  <si>
    <t xml:space="preserve">HCB CONTRATISTAS GENERALES S.R.L., R.U.C. N° 20163906661 </t>
  </si>
  <si>
    <t>LP-0001-2019-MEM/DGER</t>
  </si>
  <si>
    <t>6. EJECUCIÓN DE LA OBRA "INSTALACIÓN Y AMPLIACIÓN DEL SISTEMA ELÉCTRICO RURAL SAN MIGUEL FASE I - CAJAMARCA"</t>
  </si>
  <si>
    <t>90 d. cal.</t>
  </si>
  <si>
    <t>CASTRO LÓPEZ EDWIN, R.U.C.N° 10277207171</t>
  </si>
  <si>
    <t>AS-0004-2019-MINEM/DGER</t>
  </si>
  <si>
    <t>5. EJECUCIÓN DEL SALDO DE OBRA “ELECTRIFICACIÓN RURAL DE LOS CASERÍOS EL PORVENIR, EL REJO, CARBAJALES, BUENOS AIRES – CUMBA Y EL C.P. JOROBAMBA CON SUS CASERÍOS LAS PIRCAS, LOS ARRAYANES – EL MILAGRO – UTCUBAMBA”</t>
  </si>
  <si>
    <t>CONSORCIO LIBERTADORES (MAE INVERSIONES Y SERVICIOS MÚLTIPLES E.I.R.L.; e; INTI CONSTRUCTORES, CONTRATISTAS GENERALES Y SERVICIOS AFINES S.R.L.) R.U.C. Nº 20604272310</t>
  </si>
  <si>
    <t>AS-0033-2018-MEM/DGER</t>
  </si>
  <si>
    <t>4. EJECUCIÓN DE LA OBRA “SISTEMA ELÉCTRICO RURAL CORA CORA V ETAPA"</t>
  </si>
  <si>
    <t>CONSORCIO VIRGEN DE FATIMA (ALKAPALKA CONTRATISTAS GENERALES S.A.C.; y, GILBEN INVERSIONES S.A.C.) R.U.C. Nº 20604236429</t>
  </si>
  <si>
    <t>AS-0031-2018-MEM/DGER</t>
  </si>
  <si>
    <t>3. EJECUCIÓN DE LA OBRA “INSTALACIÓN DEL SERVICIO DE ENERGIA ELÉCTRICA MEDIANTE EL SISTEMA CONVENCIONAL PARA 11 LOCALIDADES DE LA ZONA NORESTE DE OLMOS, DISTRITO DE OLMOS – LAMBAYEQUE – LAMBAYEQUE”</t>
  </si>
  <si>
    <t>300 d. cal.</t>
  </si>
  <si>
    <t>CONSORCIO SANTO DOMINGO (LCF DISTRIBUCIONES Y SERVICIOS S.A.C.; y, FENIX CONTRATISTAS GENERALES S.A.C.) R.U.C. Nº 20440330381</t>
  </si>
  <si>
    <t>LP-0009-2018-MEM/DGER</t>
  </si>
  <si>
    <t>2. EJECUCIÓN DE LA OBRA "CREACIÓN DEL SISTEMA ELÉCTRICO RURAL DE LA COMUNIDAD CAMPESINA DE MICHIQUILLAY, DISTRITO DE LA ENCAÑADA-PROVINCIA DE CAJAMARCA-DEPARTAMENTO DE CAJAMARCA"</t>
  </si>
  <si>
    <t>CONSORCIO SANTA ROSA (RTF INGENIERIA CONSULTORES Y EJECUTORES S.A.C. y NISSOL S.A.C.) R.U.C. Nº 20260236611</t>
  </si>
  <si>
    <t>AS-0032-2018-MEM/DGER</t>
  </si>
  <si>
    <t>1. EJECUCIÓN DE LA OBRA “INSTALACIÓN DEL SERVICIO DE ENERGIA ELÉCTRICA MEDIANTE EL SISTEMA CONVENCIONAL EN LOS CASERIOS SAN JOSÉ, SAN ISIDRO, LA ESPERANZA, REDONDO Y VEGA DEL PADRE, DISTRITO DE OLMOS – LAMBAYEQUE – LAMBAYEQUE”</t>
  </si>
  <si>
    <t>CONTRATOS DE OBRAS SUSCRITOS EN EL AÑO 2019</t>
  </si>
  <si>
    <t>UNIDAD EJECUTORA 005: DIRECCIÓN GENERAL DE ELECTRIFICACIÓN RURAL</t>
  </si>
  <si>
    <t>PLIEGO: 016 MINISTERIO DE ENERGÍA Y MINAS</t>
  </si>
  <si>
    <t>SECTOR: 16 ENERGIA Y MINAS</t>
  </si>
  <si>
    <t>2020 (proyectado al 31 de diciemvre del 2020)</t>
  </si>
  <si>
    <t xml:space="preserve">PROYECCIÓN 2021 </t>
  </si>
  <si>
    <t>D-2</t>
  </si>
  <si>
    <t>D-3</t>
  </si>
  <si>
    <t>D-4</t>
  </si>
  <si>
    <t>D-5</t>
  </si>
  <si>
    <t>D-6</t>
  </si>
  <si>
    <t>P-1</t>
  </si>
  <si>
    <t>P-10</t>
  </si>
  <si>
    <t>P-2</t>
  </si>
  <si>
    <t>P-3</t>
  </si>
  <si>
    <t>P-4</t>
  </si>
  <si>
    <t>P-5</t>
  </si>
  <si>
    <t>P-6</t>
  </si>
  <si>
    <t>P-7</t>
  </si>
  <si>
    <t>P-8</t>
  </si>
  <si>
    <t>T-1</t>
  </si>
  <si>
    <t>T-10</t>
  </si>
  <si>
    <t>T1-1</t>
  </si>
  <si>
    <t>T-3</t>
  </si>
  <si>
    <t>T-4</t>
  </si>
  <si>
    <t>T-5</t>
  </si>
  <si>
    <t>T-6</t>
  </si>
  <si>
    <t>T-7</t>
  </si>
  <si>
    <t>A-4</t>
  </si>
  <si>
    <t>A-5</t>
  </si>
  <si>
    <t>A-6</t>
  </si>
  <si>
    <t xml:space="preserve">CONTRATO ADMINISTRATIVO DE SERVICIOS </t>
  </si>
  <si>
    <t>PRACTICANTES</t>
  </si>
  <si>
    <t>PRACTICAS</t>
  </si>
  <si>
    <t>UNIDAD EJECUTORA 001: MINISTERIO DE ENERGÍA Y MINAS - CENTRAL</t>
  </si>
  <si>
    <t>PLIEGO  016: MINISTERIO DE ENERGÍA Y MINAS</t>
  </si>
  <si>
    <t>SECTOR  16:  ENERGÍA Y MINAS</t>
  </si>
  <si>
    <t>OPP</t>
  </si>
  <si>
    <t>Informes de la Unidad de Relaciones Institucionales</t>
  </si>
  <si>
    <t>-</t>
  </si>
  <si>
    <t>Porcentaje de satisfacción de la gestión institucional</t>
  </si>
  <si>
    <t>OEI.04 Fortalecer la gestión institucional</t>
  </si>
  <si>
    <t>OES.04
Fortalecer la gobernanza y la modernización del Sector Minero-Energético</t>
  </si>
  <si>
    <t>SG</t>
  </si>
  <si>
    <t>Evaluaciones POI.</t>
  </si>
  <si>
    <t>Porcentaje  de implementación de la gestión de riesgo de desastres</t>
  </si>
  <si>
    <t>OEI.03 Implementar la gestión de riesgo de desastres en beneficio de la población</t>
  </si>
  <si>
    <t>OES.03
Contribuir en el desarrollo
humano y en las relaciones armoniosas de los actores del Sector Minero-Energético</t>
  </si>
  <si>
    <t>URI /
Direcciones de Línea de Geología</t>
  </si>
  <si>
    <t>Evaluaciones POI, Sistema INGEADMIN</t>
  </si>
  <si>
    <t>100% (2016)</t>
  </si>
  <si>
    <t xml:space="preserve">Porcentaje de boletines finales de investigación geológica publicados  </t>
  </si>
  <si>
    <t>OEI.01 Incrementar el conocimiento geológico para la ciudadanía en general</t>
  </si>
  <si>
    <t>DCM</t>
  </si>
  <si>
    <t>Base de datos (Resoluciones) del SIDEMCAT</t>
  </si>
  <si>
    <t>99% (2016)</t>
  </si>
  <si>
    <t>Porcentaje de títulos mineros consentidos</t>
  </si>
  <si>
    <t>OEI.02 Garantizar la seguridad jurídica del rol concedente a los usuarios minero</t>
  </si>
  <si>
    <t>OES.01
Incrementar el desarrollo 
económico del país mediante el
aumento de la competitividad del 
Sector Minero-Energético</t>
  </si>
  <si>
    <t>221:  INSTITUTO GEOLOGICO MINERO Y METALURGICO (INGEMMET)</t>
  </si>
  <si>
    <t>Meta</t>
  </si>
  <si>
    <t>Proyectado</t>
  </si>
  <si>
    <t>Resultado</t>
  </si>
  <si>
    <t>Responsable</t>
  </si>
  <si>
    <t>Fuente de Información</t>
  </si>
  <si>
    <t>Meta 2021</t>
  </si>
  <si>
    <t>Linea Base</t>
  </si>
  <si>
    <t>Nombre del Indicador</t>
  </si>
  <si>
    <t>Objetivo Estrategico Institucional
(Código y Enunciado)</t>
  </si>
  <si>
    <t>Objetivo Estrategico Sectorial
(Código)</t>
  </si>
  <si>
    <t>PLIEGO O ENTIDAD DEL SECTOR</t>
  </si>
  <si>
    <t xml:space="preserve"> -</t>
  </si>
  <si>
    <t>IPEN</t>
  </si>
  <si>
    <t>Porcentaje de avance en la implementación eficaz del plan de gestión de riesgos de desastres</t>
  </si>
  <si>
    <t>OEI.06 Fortalecer la  gestión de riesgo de desastres en el IPEN (PEI 2020-2023)</t>
  </si>
  <si>
    <t>Número de procesos críticos mejorados</t>
  </si>
  <si>
    <t>OEI.05 Fortalecer la gestión institucional (PEI 2020-2023)</t>
  </si>
  <si>
    <t xml:space="preserve"> - </t>
  </si>
  <si>
    <t>Número de procesos mejorados</t>
  </si>
  <si>
    <t>OEI 5.- Mejorar la gestión  Institucional del IPEN (PEI 2017-2019)</t>
  </si>
  <si>
    <t>OES.04</t>
  </si>
  <si>
    <t>Número de servicios tecnológicos nucleares aplicados eficientemente</t>
  </si>
  <si>
    <t>Número de becquerelios (Bq) de radiofármacos entregados (TBq) de manera oportuna.</t>
  </si>
  <si>
    <t>OEI.04 Incrementar el nivel de producción de radioisótopos y servicios tecnológicos nucleares en beneficio de los sectores económicos (PEI 2020-2023)</t>
  </si>
  <si>
    <t>Número de curíes de radiofármacos entregados</t>
  </si>
  <si>
    <t>OEI 4.- Incrementar la producción de radioisótopos en beneficio de la salud (PEI 2017-2019)</t>
  </si>
  <si>
    <t>OES.03</t>
  </si>
  <si>
    <t>Número de acciones de control eficaz</t>
  </si>
  <si>
    <t>Número de programas de vigilancia radiológica ejecutados oportunamente</t>
  </si>
  <si>
    <t>OEI.03 Incrementar el nivel de seguridad radiológica  y la prevención de emergencias radiológicas  en el país (PEI 2020-2023)</t>
  </si>
  <si>
    <t>Número de instituciones fiscalizadas que cumplen con la normatividad</t>
  </si>
  <si>
    <t>Número de servicios tecnológicos nucleares aplicado en los sectores productivos y servicios</t>
  </si>
  <si>
    <t>Porcentaje de muestras  que cumplen con el rango aceptable de radiación</t>
  </si>
  <si>
    <t>OEI 3.- Promover el uso seguro de las radiaciones ionizantes en el país (PEI 2017-2019)</t>
  </si>
  <si>
    <t>OES.02</t>
  </si>
  <si>
    <t>Número de aplicaciones de la tecnología nuclear transferidas</t>
  </si>
  <si>
    <t>OEI.02 Mejorar la gestión de transferencia de la tecnología nuclear a los sectores productivos, de servicios y a la comunidad académica (PEI 2020-2023)</t>
  </si>
  <si>
    <t>Número de publicaciones científicas oportunas</t>
  </si>
  <si>
    <t>Número de proyectos de I+D+i ejecutados eficazmente.</t>
  </si>
  <si>
    <t>OEI.01 Mejorar la calidad de la investigación y desarrollo en ciencia y tecnología nuclear, para su aplicación en beneficio de la sociedad (PEI 2020-2023)</t>
  </si>
  <si>
    <t>Número de instituciones público y privadas que utilizan tecnología transferida  por el IPEN.</t>
  </si>
  <si>
    <t>OEI 2.- Transferir tecnología a los sectores productivos y de servicios (PEI 2017-2019)</t>
  </si>
  <si>
    <t>Número de publicaciones científicas originales</t>
  </si>
  <si>
    <t>Número de proyectos de I+D+i en ejecución.</t>
  </si>
  <si>
    <t>OEI 1.- Desarrollar investigación en ciencia y tecnología nuclear (PEI 2017-2019)</t>
  </si>
  <si>
    <t>OES.01</t>
  </si>
  <si>
    <t>220:  INSTITUTO PERUANO DE ENERGÍA NUCLEAR</t>
  </si>
  <si>
    <t>ND</t>
  </si>
  <si>
    <t>Oficina de Defensa Nacional - MINEM</t>
  </si>
  <si>
    <t>DREM, MINEM, Empresas del sector, INDECI, CENEPRED, INGEMMET, IPEN</t>
  </si>
  <si>
    <t>Porcentaje de avance en la implementación del Centro de Operaciones de Emergencia del MEM</t>
  </si>
  <si>
    <t>OEI.07 Implementar la Gestión de Riesgo de Desastres</t>
  </si>
  <si>
    <t>OES.04 Fortalecer la gobernanza y la modernización del Sector Minero-Energético</t>
  </si>
  <si>
    <t>Oficna General de Administración - MINEM</t>
  </si>
  <si>
    <t>Información del personal otorgado por la Oficina de Recursos Humanos</t>
  </si>
  <si>
    <t>1.16 (2019)</t>
  </si>
  <si>
    <t>Ratio de profesionales de línea entre profesionales de apoyo y asesoría</t>
  </si>
  <si>
    <t>OEI.06 Fortalecer la Gestión Institucional</t>
  </si>
  <si>
    <t>Oficna General de Planeamiento y Presupuesto - MINEM</t>
  </si>
  <si>
    <t>Evaluaciones de las capacitaciones</t>
  </si>
  <si>
    <t>100% (2018)</t>
  </si>
  <si>
    <t>Porcentaje de participantes de las DREM y GREM aprobados en las capacitaciones regionales</t>
  </si>
  <si>
    <t>OEI.05 Fortalecer las capacidades de gestión en materia minero energética de los Gobiernos Regionales</t>
  </si>
  <si>
    <t>Oficina General de Gestión Social - MINEM</t>
  </si>
  <si>
    <t>Informes del estado de las mesas de diálogo y de trabajo relacionados a los proyectos</t>
  </si>
  <si>
    <t>92.2% (2018)</t>
  </si>
  <si>
    <t>Porcentaje de proyectos del sector libres de conflictividad social</t>
  </si>
  <si>
    <t xml:space="preserve">OEI.04 Promover las relaciones armoniosas y el acceso energético en beneficio de la población </t>
  </si>
  <si>
    <t>OES.03 Contribuir en el desarrollo humano y en las relaciones armoniosas de los actores del Sector Minero-Energético</t>
  </si>
  <si>
    <t>Dirección General de Eficiencia Energética - MINEM</t>
  </si>
  <si>
    <t>Balance Nacional de Energia aprobado</t>
  </si>
  <si>
    <t>100% (2017)</t>
  </si>
  <si>
    <t>Porcentaje en la medición de emisiones de GEI dentro del Balance Nacional de Energía</t>
  </si>
  <si>
    <t>OEI.03 Asegurar la gestión ambiental responsable de los operadores en las actividades minera energéticas en beneficio de la población</t>
  </si>
  <si>
    <t>OES.02 Disminuir el impacto ambiental de las operaciones minero-energéticas</t>
  </si>
  <si>
    <t>Dirección General de Electricidad - MINEM</t>
  </si>
  <si>
    <t>Información presentada por las empresas del subsector electricidad a la DGE/MEM y reporte COES</t>
  </si>
  <si>
    <t>4.7% (2018)</t>
  </si>
  <si>
    <t>Participación porcentual de la producción de energía eléctrica con centrales de recursos energéticos renovables</t>
  </si>
  <si>
    <t>OEI.02 Impulsar la seguridad energética mediante el abastecimiento continuo, moderno y de calidad universal para la población</t>
  </si>
  <si>
    <t>OES.01 Incrementar el desarrollo económico del país mediante el aumento de la competitividad del Sector Minero-Energético</t>
  </si>
  <si>
    <t>1,017.9 Millones US$</t>
  </si>
  <si>
    <t>616.04 Millones US$</t>
  </si>
  <si>
    <t>1,640.7 Millones US$</t>
  </si>
  <si>
    <t>1,143.1 Millones US$</t>
  </si>
  <si>
    <t>Dirección General de Hidrocarburos - MINEM</t>
  </si>
  <si>
    <t>PERUPETRO S.A., PETROPERÚ S.A., Calidda, Contugas, Quavi, Naturgy</t>
  </si>
  <si>
    <t>1,143.1 Millones US$ (2018)</t>
  </si>
  <si>
    <t>Monto de inversión en hidrocarburos según la cartera de proyectos priorizada (Millones US$)</t>
  </si>
  <si>
    <t>307.5 Millones US$</t>
  </si>
  <si>
    <t>44.05 Millones US$</t>
  </si>
  <si>
    <t>482.2 Millones US$</t>
  </si>
  <si>
    <t>Reportes de las empresas concesionarias del Sub Sector Eléctrico</t>
  </si>
  <si>
    <t>Monto de inversión en electricidad según la cartera de proyectos priorizada (Millones US$)</t>
  </si>
  <si>
    <t>7,959 Millones US$</t>
  </si>
  <si>
    <t>1,559 Millones US$</t>
  </si>
  <si>
    <t>7,821 Millones US$</t>
  </si>
  <si>
    <t xml:space="preserve">4,587 Millones US$ </t>
  </si>
  <si>
    <t>Dirección General de Promoción y Sostenibilidad Minera - MINEM</t>
  </si>
  <si>
    <t>Declaración Estadística Mensual (ESTAMIN) - Información declarada por los titulares mineros</t>
  </si>
  <si>
    <t>4,587 Millones US$ (2018)</t>
  </si>
  <si>
    <t>Monto de inversión minera según la cartera de proyectos priorizada (Millones US$)</t>
  </si>
  <si>
    <t>OEI.01. Promover la competitividad y sostenibilidad de las inversiones minero energéticas en beneficio de la población</t>
  </si>
  <si>
    <t>OES.01 Incrementar el desarrollo económico del país</t>
  </si>
  <si>
    <t>016:  MINISTERIO DE ENERGÍA Y MINAS</t>
  </si>
  <si>
    <t>FORMATO 01: INDICADORES DE GESTIÓN SEGÚN OBJETIVOS ESTRATÉGICOS INSTITUCIONALES AL 2021</t>
  </si>
  <si>
    <t>FUENTE DE FINANCIAMIENTO: RECURSOS ORDINARIOS</t>
  </si>
  <si>
    <t>VESTUARIO Y TEXTILES</t>
  </si>
  <si>
    <t>FUENTE DE FINANCIAMIENTO: RECURSOS DIRECTAMENTE RECAUDADOS</t>
  </si>
  <si>
    <t xml:space="preserve">VESTUARIO Y TEXTILES </t>
  </si>
  <si>
    <t>FUENTE DE FINANCIAMIENTO: DONACIONES Y TRANSFERENCIAS</t>
  </si>
  <si>
    <t>UNIDAD EJECUTORA 001: MINISERIO DE ENERGÍA Y MINAS - CENTRAL</t>
  </si>
  <si>
    <t xml:space="preserve">SERVICIO DE CONSULTORIA LEGAL - RESPECTO A LAS IMPLICANCIAS DE SUSCRIBIR EL CONTRATO CONCESIÓN DE DISTRIBUCIÓN DE GAS NATURAL POR RED DE DUCTOS EN LA REGIÓN PIURA, TENIENDO EN CONSIDERACIÓN LA MEDIDA CAUTELAR EMITIDA. </t>
  </si>
  <si>
    <t xml:space="preserve">20544786157    </t>
  </si>
  <si>
    <t>CONSULTORIA PERSONAS JURIDICAS</t>
  </si>
  <si>
    <t>12 ENERGIA</t>
  </si>
  <si>
    <t>CONSULTORIA PARA REALIZAR EL DIAGNOSTICO INTEGRAL DEL MAPA DE PROCESOS Y DE MANUALES DE PROCEDIMIENTOS DEL MEM</t>
  </si>
  <si>
    <t>CONSULTORIA PERSONA NATURAL</t>
  </si>
  <si>
    <t>03 PLANEAMIENTO, GESTIÓN Y RESERVA DE CONTINGECIA</t>
  </si>
  <si>
    <t>SERVICIO DE CONSULTORIA PARA EL LEVANTAMIENTO, PROCESAMIENTO Y SISTEMATIZACION  DE INFORMACION SOBRE PROYECTOS  DE LEY RELEVANTES  PARA SECTOR ENERGIA Y MINAS QUE SE ENCUENTRAN PENDIENTES EN EL CONGRESO DE LA REPUBLICA. - GAB.</t>
  </si>
  <si>
    <t>CONSULTORIA (PERSONA NATURAL)</t>
  </si>
  <si>
    <t>SERVICIO DE CONSULTORÍA PARA LA PROPUESTA DE MODIFICACIÓN DEL REGLAMENTO PARA EL CIERRE DE MINAS, APROBADO POR DECRETO SUPREMO N° 033-2005-EM Y SU EXPOSICIÓN DE MOTIVOS.</t>
  </si>
  <si>
    <t xml:space="preserve">20101056091    </t>
  </si>
  <si>
    <t>13 MINERIA</t>
  </si>
  <si>
    <t xml:space="preserve">CONSULTORIA PROTOCOLO PENALES. </t>
  </si>
  <si>
    <t>SERVICIO DE CONSULTORÍA PARA LA EVALUACIÓN DE LA GESTIÓN EFICIENTE DE LA CUENTA DEL RÍO PALLCA.</t>
  </si>
  <si>
    <t>06713567</t>
  </si>
  <si>
    <t xml:space="preserve">SERVICIO DE CONSULTORIA PARA LA EVALUACION, ANALISIS E IMPACTO DE LOS COMENTARIOS DE LA NTCSE </t>
  </si>
  <si>
    <t xml:space="preserve">20573849133    </t>
  </si>
  <si>
    <t xml:space="preserve">SERVICIO DE ASESORIA EN FORMULACION DE LAS ACTIVIDADES DEL PLAN OPERATIVO 2019 DE LA OGGS PARA FORTALECER LAS FUNCIONES DE PREVENCION DE CONFLICTOS SOCIALES A LA OFICINA GENERAL DE GESTION SOCIAL </t>
  </si>
  <si>
    <t>07266119</t>
  </si>
  <si>
    <t xml:space="preserve">SERVICIO DE CONSULTORIA DE PROCESO ARBITRAL LYM. </t>
  </si>
  <si>
    <t xml:space="preserve">42760428    </t>
  </si>
  <si>
    <t>ASISTENCIA EN LA ELABORACIÓN DE UN INFORME LEGAL DE OEFA.</t>
  </si>
  <si>
    <t xml:space="preserve">20101093027    </t>
  </si>
  <si>
    <t xml:space="preserve">SERVICIO DE CONSULTORÍA PARA LA EVALUACIÓN DE LA GESTIÓN EFICIENTE DE LA CUENTA DEL RÍO AYAPATA - DCE. </t>
  </si>
  <si>
    <t xml:space="preserve">19853456    </t>
  </si>
  <si>
    <t>SERVICIO DE CONSULTORIA PARA EL ANALISIS DE LOS PROCEDIMIENTOS ADMINISTRATIVOS DE LA DIRECCION GENERAL DE ASUNTOS AMBIENTALES MINEROS A FIN QUE SEAN ACORDES CON LAS DISPOSICIONES DE LA LEY N° 27444. LEY DE PROCEDIMIENTO ADMINISTRATIVO GENERAL Y PROPUESTA NORMATIVA RELACIONADA AL ALMACENAMIENTO DE CONCENTRADOS Y/O MINERALES FUERA DE LAS AREAS DE CONCESIONES MINERAS (SEGUNDO PAGO)</t>
  </si>
  <si>
    <t>SERVICIO EN EL DIAGNOSTICO E IDENTIFICACION Y ENTREVISTAS A LIDERES DE CENTROS POBLADOS Y COMUNIDADES DE ZONAS MINERAS EN EL MARCO DEL PROGRAMA DE INTEGRACION MINERA</t>
  </si>
  <si>
    <t xml:space="preserve">20551464114    </t>
  </si>
  <si>
    <t>SERVICIO DE CONSULTORIA PARA LA ACTUALIZACION DE LA CALIFICACION COMO SISTEMA ELECTRICO RURAL (SER) DEL PROYECTO "SUMINISTRO DE ELECTRICIDAD CON RECURSOS ENERGETICOS RENOVABLES EN AREAS NO CONECTADAS A RED (ZONA SUR)</t>
  </si>
  <si>
    <t xml:space="preserve">20417717391    </t>
  </si>
  <si>
    <t xml:space="preserve">SERVICIO DE CONSULTORÍA PARA EL ANÁLISIS GEOESPACIAL Y EMISIÓN DE INFORMES RESPECTO DE LA VALIDACIÓN DE DATOS DE LOS MINEROS INSCRITOS EN EL REGISTRO INTEGRAL DE FORMALIZACIÓN MINERA, EN EL MARCO DE LA NORMATIVIDAD VIGENTE. </t>
  </si>
  <si>
    <t xml:space="preserve">20601999901    </t>
  </si>
  <si>
    <t>SERVICIO DE ELABORACION DE DIAGNOSTICO DE LA SITUACION DE SELECCIONADORAS/ES MANUALES DE MINERAL EN LA REGION AREQUIPA</t>
  </si>
  <si>
    <t xml:space="preserve">20501800181    </t>
  </si>
  <si>
    <t xml:space="preserve">SE REQUIERE LA CONTRATACIÓN DE UN ESTUDIO JURÍDICO QUE EMITA UN INFORME LEGAL INDEPENDIENTE CON EL OBJETO DE ESTABLECER CRITERIOS QUE PERMITAN EVALUAR LAS SOLICITUDES SUJETAS A SILENCIO ADMINISTRATIVO - </t>
  </si>
  <si>
    <t xml:space="preserve">20510037562    </t>
  </si>
  <si>
    <t>SERVICIO DE CONSULTORÍA ECONÓMICA FINANCIERA DEL CÁLCULO DE LA INDEMNIZACIÓN DISPUESTO EN EL LAUDO PARCIAL EMITIDO EN EL PROCESO ARBITRAL SEGUIDO POR REP CONTRA EL MEM.</t>
  </si>
  <si>
    <t xml:space="preserve">20136507720    </t>
  </si>
  <si>
    <t xml:space="preserve">CONSULTORIA DE ANULACIÓN DE LAUDO. </t>
  </si>
  <si>
    <t xml:space="preserve">07456168    </t>
  </si>
  <si>
    <t xml:space="preserve">SERVICIO DE DESARROLLO DEL NUEVO SISTEMA DE CONCESIONES ELÉCTRICAS - SISCE - DE LA DIRECCIÓN GENERAL DE ELECTRICIDAD - Y MIGRACIÓN DE LA BASE - 4TO PAGO </t>
  </si>
  <si>
    <t xml:space="preserve">20518864379    </t>
  </si>
  <si>
    <t>SERVICIO DE CONSULTORIA LEGAL PARA INTERPRETACION DEL CONTRATO DE CONCESION SCT LINEA DE TRANSMISION 220 KV MONTALVO - LOS HEROES Y SUBESTACIONES ASOCIADAS</t>
  </si>
  <si>
    <t xml:space="preserve">20372475707    </t>
  </si>
  <si>
    <t xml:space="preserve">CONSULTORÍA PARA LA ELABORACIÓN DE UN INFORME LEGAL QUE DISPONGA LA ESTRATEGIA Y RECOMENDACIONES DE LAS ACCIONES QUE CORRESPONDERÍAN PARA CUESTIONAR EN SEDE JUDICIAL LA RES.N° 476-2018-OEFA/TFA-SMEPIM Y LA RES.N° 477-2018-OEFA/TFA-SMEPIM. </t>
  </si>
  <si>
    <t>CONSULTORIA DE EVALUACION DE DENUNCIAS</t>
  </si>
  <si>
    <t xml:space="preserve">07082746    </t>
  </si>
  <si>
    <t xml:space="preserve">SERVICIOS DE CONSULTORÍA LEGAL PARA INTERPRETACIÓN DEL CONTRATO DE CONCESIÓN PARA EL SUMINISTRO DE  ENERGÍA RENOVABLE AL SISTEMA  </t>
  </si>
  <si>
    <t>SERVICIOS DE CONSULTORÍA LEGAL PARA OPINIÓN LEGAL RESPECTO A LA RESOLUCIÓN DE CONTRATO DE COMPROMISO DE INVERSIÓN PARA EL DESARROLLO DE LA “CENTRAL HIDROELÉCTRICA MOLLOCO”.</t>
  </si>
  <si>
    <t>SERVICIO DE CONSULTORIA LEGAL PARA OPINIÓN LEGAL RESPECTO A LA RESOLUCIÓN DE CONTRATO DE CONCESIÓN PARA EL SUMINISTRO DE  ENERGÍA RENOVABLE AL SISTEMA INTERCONECTADO NACIONAL REFERIDO A LA CENTRAL HIDROELECTRICA HUATZIROQUI  (SEGUNDA SUBASTA)</t>
  </si>
  <si>
    <t>SERV. DE CONSULTORÍA PARA EVALUAR LA CONCURRENCIA O SUPERPOSICIONES CON ZONAS DE CONCESIÓN DE DISTRIB., DE PUNTOS GEOREFERENCIADOS DEL PROY. SUMINISTRO DE ELECTRICIDAD CON RECURSOS ENERGÉTICOS RENOVABLES EN ÁREAS NO CONECTADAS A RED (ZONA CENTRO) -</t>
  </si>
  <si>
    <t>SERVICIO DE CONSULTORIA PARA EL ESTUDIO Y DISEÑO DE PLAN DE ACCION PARA EL ALINEAMIENTO DE LA CULTURA ORGANIZACIÓN EN EL MEM. EXPEDIENTE SIAF N° 01908</t>
  </si>
  <si>
    <t xml:space="preserve">20544203313    </t>
  </si>
  <si>
    <t xml:space="preserve">SERVICIO DE CONSULTORÍA PARA LA ELABORACIÓN DE TÉRMINOS DE REFERENCIA DEL ESTUDIO "ANÁLISIS Y PROPUESTA DE MECANISMO DE PROMOCIÓN DE NUEVA GENERACIÓN EN EL SEIN" - </t>
  </si>
  <si>
    <t xml:space="preserve">06713567    </t>
  </si>
  <si>
    <t>SERVICIO DE CONSULTORIA PARA LA VERIFICACION DE LAS ADQUISICIONES REALIZADAS POR LAS EMPRESAS CALIFICADAS PARA LA RECUPERACION ANTICIPADA DEL IGV</t>
  </si>
  <si>
    <t xml:space="preserve">20544605462    </t>
  </si>
  <si>
    <t>CONSULTORÍA PARA EMITIR INFORME LEGAL RESPECTO AL CONTRATO DE FIDEICOMISO AMBIENTAL SUSCRITO ENTRE DOE RUN PERÚ S.R.L., EL BANCO SCOTIABANK PERÚ S.A.A. CON LA PARTICIPACIÓN DE LA DGM</t>
  </si>
  <si>
    <t xml:space="preserve">SERVICIO DE CONSULTORIA ESPECIALIZADA PARA EL ANÁLISIS DEL IMPACTO AMBIENTAL DE ESCENARIOS DE CAMBIO CLIMÁTICO EN EL SECTOR HIDROCARBUROS </t>
  </si>
  <si>
    <t xml:space="preserve">07582287    </t>
  </si>
  <si>
    <t xml:space="preserve">SERVICIO DE CONSULTORÍA PARA EL ANÁLISIS DE LAS PERSPECTIVAS DEL SUMINISTRO DE ENERGÍA ELÉCTRICA EN LA ZONA SUR POR FALTA DE GENERACIÓN EFICIENTE. </t>
  </si>
  <si>
    <t xml:space="preserve">20521455544    </t>
  </si>
  <si>
    <t xml:space="preserve">SERVICIO DE CONSULTORIA PARA EL ESTABLECIMIENTO DE METAS DEL CICLO DE GESTIÓN DEL RENDIMIENTO 2019-2020. </t>
  </si>
  <si>
    <t xml:space="preserve">20601936969    </t>
  </si>
  <si>
    <t xml:space="preserve">SERVICIO DE CONSULTORIA LEGAL EN EL MARCO DEL TRATO DIRECTO INICIADO POR LA EMPRESA TRANSMISORA ELECTRICA DEL SUR 3 S.A.C </t>
  </si>
  <si>
    <t xml:space="preserve">CONSULTORÍA PARA EL ANÁLISIS DE LA LEGISLACIÓN NACIONAL E INTERNACIONAL EN MATERIA DE EXPLORACIÓN, EXPLOTACIÓN Y BENEFICIO DE MINERALES RADIOACTIVOS. </t>
  </si>
  <si>
    <t xml:space="preserve">20184778824    </t>
  </si>
  <si>
    <t>SERVICIO DE CONSULTORIA LEGAL - PARA LA ABSOLUCIÓN DE CONSULTAS EN MATERIA DE DERECHO ADMINISTRATIVO VINCULADAS A LA POSIBILIDAD DE SUSCRIBIR UN CONTRATO DE CONCESIÓN PARA LA DISTRIBUCIÓN DE GAS NATURAL EN LA REGIÓN PIURA</t>
  </si>
  <si>
    <t xml:space="preserve">SERVICIO DE UNA CONSULTORIA PARA ELABORACIÓN DE LA GUÍA METODOLÓGICA PARA LA DETERMINACIÓN DE LAS POTENCIALES AFECTACIONES A LOS DERECHOS COLECTIVOS DE LOS PUEBLOS INDÍGENAS U ORIGINARIOS EN EL SECTOR MINERO. </t>
  </si>
  <si>
    <t xml:space="preserve">07749306    </t>
  </si>
  <si>
    <t>SERVICIO DE CONSULTORIA PARA LA ELABORACION DEL INVENTARIO DE RECURSOS DE HIDROCARBUROS 2018 - CONTRATO N° 016-2019-MEM/OGA (EXP SIAF 3867)</t>
  </si>
  <si>
    <t xml:space="preserve">20524730554    </t>
  </si>
  <si>
    <t>SERVICIO DE CONSULTORIA ANÁLISIS Y EVALUACIÓN DE LA LEGISLACIÓN COMPARADA EN MATERIA DE DISTRIBUCIÓN DE GAS NATURAL POR RED DE DUCTOS ENTRE LOS PAÍSES DE MÉXICO, COLOMBIA Y PERÚ. EXPEDIENTE SIAF N° 3943</t>
  </si>
  <si>
    <t xml:space="preserve">20510260041    </t>
  </si>
  <si>
    <t>CONSULTORIA PARA EL ANÁLISIS LEGAL DE LAS CONTINGENCIAS DE CARÁCTER PENAL EN RELACIÓN AL PROCEDIMIENTO ADMINISTRATIVO QUE TIENE POR FINALIDAD EL OTORGAMIENTO DE LA CONCESIÓN DE DISTRIBUCIÓN DE GAS NATURAL POR RED DE DUCTOS EN LA REGIÓN PIURA - (EXPEDIENTE SIAF N° 04028)</t>
  </si>
  <si>
    <t xml:space="preserve">25729257    </t>
  </si>
  <si>
    <t>SERVICIO DE DESARROLLO E IMPLEMENTACION DEL SISTEMA DE COBRANZA COACTIVA DEL MINISTERIO DE ENERGIA Y MINAS. EXPEDIENTE SIAF N° 04184</t>
  </si>
  <si>
    <t xml:space="preserve">20551695434    </t>
  </si>
  <si>
    <t>SERVICIO DE IDENTIFICACIÓN DE LAS PRINCIPALES SUSTANCIAS QUÍMICAS ASOCIADAS A LAS ACTIVIDADES DE EXPLORACIÓN Y EXPLOTACIÓN DE HIDROCARBUROS (EXPEDIENTE SIAF N° 04068)</t>
  </si>
  <si>
    <t xml:space="preserve">40622039    </t>
  </si>
  <si>
    <t>SERVICIO DE CONSULTORÍA ESPECIALIZADA PARA EL ANÁLISIS DE LAS SUGERENCIAS Y COMENTARIOS RECIBIDOS EN LA PUBLICACIÓN DISPUESTA POR LA RESOLUCIÓN MINISTERIAL N° 292-2018-MEM/DM - (EXPEDIENTE SIAF N° 04109)</t>
  </si>
  <si>
    <t xml:space="preserve">20500403994    </t>
  </si>
  <si>
    <t>SERVICIO DE CONSULTORIA ECONÓMICA FINANCIERA PARA EL ANÁLISIS DE LA METODOLOGÍA UTILIZADA EN LA PERICIA DE OFICIO.
(EXPEDIENTE SIAF N° 04113)</t>
  </si>
  <si>
    <t>SERVICIO PARA EL MANTENIMIENTO DEL SISTEMA DE GESTIÓN ANTISOBORNO: ISO 37001 DEL MINISTERIO DE ENERGÍA Y MINAS. EXPEDIENTE SIAF N° 4564</t>
  </si>
  <si>
    <t xml:space="preserve">20600603401    </t>
  </si>
  <si>
    <t>OTROS SERVICIOS SIMILARES</t>
  </si>
  <si>
    <t>SERVICIO DE CONSULTORÍA PARA ELABORACIÓN DE PROYECTO NORMATIVO PARA LA PROMOCIÓN DE LA INVERSIÓN ELÉCTRICA PARA SISTEMAS AISLADOS. EXPEDIENTE SIAF N° 4575</t>
  </si>
  <si>
    <t xml:space="preserve">43460854    </t>
  </si>
  <si>
    <t>SERVICIO DE CONSULTORIA PARA EL ANÁLISIS LEGAL Y PARTICIPACIÓN EN EL INFORME ORAL DEL PROCESO JUDICIAL SEGUIDO POR LA EMPRESA DE GAS S.A. - GASTALSA  CONTRA EL MINISTERIO DE ENERGÍA Y MINAS - (EXPEDIENTE SIAF N° 04515)</t>
  </si>
  <si>
    <t xml:space="preserve">09343886    </t>
  </si>
  <si>
    <t>SERVICIOS DE UN CONSULTOR LEGAL.
(EXPEDIENTE SIAF N° 04636)</t>
  </si>
  <si>
    <t xml:space="preserve">09641041    </t>
  </si>
  <si>
    <t>CONSULTORÍA PARA LA ELABORACIÓN DE UN INFORME LEGAL QUE CONTENGA LAS ACCIONES Y/O RECOMENDACIONES A SEGUIR EN EL PROCEDIMIENTO ADMINISTRATIVO SANCIONADOR INICIADO POR OEFA CONTRA LA DGM (EXPEDIENTE SIAF N° 04621)</t>
  </si>
  <si>
    <t>CONSULTORÍA PARA LA ELABORACIÓN DE UN INFORME LEGAL QUE DISPONGA LA ESTRATEGIA Y RECOMENDACIONES DE LAS ACCIONES QUE CORRESPONDAN PARA LA PRESENTACIÓN DE UNA MEDIDA CAUTELAR DENTRO DEL PROCESO INICIADA POR LA DGM EN CONTRA DE LA OEFA (EXPEDIENTE SIAF N° 04621)</t>
  </si>
  <si>
    <t>SERVICIO PARA LA AMPLIACIÓN DEL ALCANCE DE LA CERTIFICACIÓN DE LA NORMA ISO 37001:2016 SISTEMA DE GESTIÓN ANTISOBORNO DEL MINISTERIO DE ENERGÍA Y MINAS (EXPEDIENTE SIAF N° 04741)</t>
  </si>
  <si>
    <t>SERVICIO DE CONSULTORIA PROCESOS DE REMEDIACIÓN DE PASIVOS AMBIENTALES MINERÍA E HIDROCARBUROS (EXPEDIENTE SIAF N° 04945)</t>
  </si>
  <si>
    <t xml:space="preserve">41777895    </t>
  </si>
  <si>
    <t>SERVICIO DE CONSULTO PARA EL PROCESO DE ENTREVISTA Y SELECCIÓN DE LÍDERES DE LA COMUNIDAD CAMPESINA HUAYLLUMA-NINAHUISA-ACORA - PASANTÍA EN GESTIÓN AMBIEN EN ELECTRICIDAD A CARGO DE LA DGAA-E (EXP. SIAF N° 04968)</t>
  </si>
  <si>
    <t xml:space="preserve">20155945860    </t>
  </si>
  <si>
    <t>SERVICIO DE CONSULTORÍA PARA LA ELABORACIÓN DE TÉRMINOS DE REFERENCIA DEL ESTUDIO “ EVALUACIÓN DEL IMPACTO DE LA INTEGRACIÓN ENERGÉTICA REGIONAL EN LA ECONOMÍA”. EXPEDIENTE SIAF N° 05110</t>
  </si>
  <si>
    <t xml:space="preserve">20602203515    </t>
  </si>
  <si>
    <t>SERVICIO DE CONSULTORÍA PARA REALIZAR EL ANÁLISIS ESPACIAL DE LAS SOLICITUDES DE ACTUALIZACIÓN DE CONCESIÓN ELÉCTRICA RURAL DEL PROYECTO “SUMINISTRO DE ELECTRICIDAD CON RECURSOS ENERGÉTICOS RENOVABLES EN ÁREAS NO CONECTADAS A RED” -  ZONAS NORTE Y CENTRO. EXPEDIENTE SIAF N° 05114</t>
  </si>
  <si>
    <t xml:space="preserve">20514814296    </t>
  </si>
  <si>
    <t>SERVICIO DE CONSULTORÍA PARA LA EVALUACIÓN DE LA GESTIÓN DE LOS CONTRATOS Y ANÁLISIS TÉCNICO - LEGAL DE LOS EXPE-DIENTES EN TRÁMITE ASIGNADOS A LA DIRECCIÓN GENERAL DE ELECTRICIDAD. (EXPEDIENTE SIAF N°05068)</t>
  </si>
  <si>
    <t xml:space="preserve">20547247133    </t>
  </si>
  <si>
    <t>SERVICIO DE CONSULTORIA TÉCNICA REGULATORIA PARA ELABORAR UN PLAN DE ACCIÓN PARA EL CIERRE ADMINISTRATIVO DE LAS ALTAS Y BAJAS PRODUCTOS DE LOS CONTRATOS DE AMPLIACIÓNDE ETECEN - ETESUR REALIZADAS POR LA EMPRESA ISA PARA LA DIRECCIÓN GENERAL DE ELECTRICIDAD. EXPEDIENTE SIAF N° 05107</t>
  </si>
  <si>
    <t xml:space="preserve">SERVICIO DE CONSULTORÍA PARA EVALUAR LA FISURA DEL TÚNEL DE LA CH LA VIRGEN COMO FUERZA MAYOR PARA MODIFICAR EL CRONOGRAMA DE LA CONCESIÓN DEFINITIVA DE LA CH LA VIRGEN (EXPEDIENTE SIAF N°5073) </t>
  </si>
  <si>
    <t xml:space="preserve">20521291258    </t>
  </si>
  <si>
    <t>CONTRATACIÓN DE UNA CONSULTORIA EN INGENIERIA DE SISTEMAS, PARA LA ADECUACIÓN A LA LEY Nº 29733, LEY DE PROTECCIÓN DE DATOS PERSONALES.(EXPEDIENTE SIAF N°05132)</t>
  </si>
  <si>
    <t xml:space="preserve">06211833    </t>
  </si>
  <si>
    <t>SERVICIO DE CONSULTORÌA PARA LA EVALUACIÒN DE LA OPERATIVIDAD DEL MERCADO SECUNDARIO REALIZADO MEDIANTE SUBASTA ELECTRÒNICA (EXP. SIAF N° 05196)</t>
  </si>
  <si>
    <t xml:space="preserve">20602063560    </t>
  </si>
  <si>
    <t>SERVICIO DE CONSULTORÍA PARA LA EVALUACIÓN DE LA GESTIÓN EFICIENTE DE LA CUENCA DEL RÍO SAN JOSÉ.(EXPEDIENTE SIAF N°05203)</t>
  </si>
  <si>
    <t xml:space="preserve">20492162974    </t>
  </si>
  <si>
    <t>SE REQUIERE LA CONTRATACIÓN DE UNA PERSONA NATURAL, PROFESIONAL EN DERECHO QUE BRINDE EL SERVICIO DE ADECUACIÓN LEGAL Y CAPACITACIÓN SOBRE LA NORMATIVA Y REGLAMENTO DE LA LEY Nº 29733, LEY DE PROTECCIÓN DE DATOS PERSONALES - (EXPEDIENTE SIAF N° 05301)</t>
  </si>
  <si>
    <t xml:space="preserve">42805610    </t>
  </si>
  <si>
    <t>CONTRATACIÓN DE EXPERTO TECNICO PARA LA EVALUACIÓN DE PERICIA TECNICA PRESENTADA POR ELECTRO ZAÑA (CASO ARBITRAL 677-2018-CCL) EXP SIAF 5268</t>
  </si>
  <si>
    <t xml:space="preserve">20553292655    </t>
  </si>
  <si>
    <t>SERVICIOS DE CONSULTORÍA ECONÓMICA FINANCIERA (EXPEDIENTE SIAF N° 05312)</t>
  </si>
  <si>
    <t>SERVICIO DE CONSULTORÍA PARA LA "ELABORACIÓN DEL SEGUNDO ESTUDIO DE TRANSPARENCIA REGIONAL DE LA INICIATIVA EITI PARA LA REGIÓN APURIMAC" (EXP SIAF 5622)</t>
  </si>
  <si>
    <t xml:space="preserve">10054404    </t>
  </si>
  <si>
    <t>ELABORACIÓN DE TDR PARA LA CONTRATACIÓN DEL SERVICIO DE ANEAMIENTO FÍSICO-LEGAL DE LOS TERRENOS PARA LA CONSTRUCCIÓN DEL PROY "RECUPERACIÓN DE LA CUENCA MEDIA Y BAJA DEL RÍO GRANDE, AFECTADA POR LA CONTAMINACIÓN MINERA, DPTO DE PUNO." (EXPEDIENTE SIAF N° 05535)</t>
  </si>
  <si>
    <t xml:space="preserve">20526040954    </t>
  </si>
  <si>
    <t>CONSULTORÍA PARA LA IMPLEMENTACIÓN DE LAS ACTIVIDADES CONTENIDAS EN LA MATRIZ DE ACCIONES, INDICADORES Y METAS DE LA OII APROBADO MEDIANTE RESOLUCIÓN MINISTERIAL NRO 099-2019-MEM/DM PLAN DE INTEGRIDAD Y LUCHA CONTRA LA CORRUPCIÓN DEL SECTOR ENERGÍA Y MIN (EXPEDIENTE SIAF N° 05660)</t>
  </si>
  <si>
    <t xml:space="preserve">41844090    </t>
  </si>
  <si>
    <t>SERVICIO DE CONSULTORIA INFORME LEGAL  - DERECHO ADMINISTRATIVO.
(EXPEDIENTE SIAF N° 05712)</t>
  </si>
  <si>
    <t>SERVICIO DE CONSULTORÍA JURÍDICA – INFORME LEGAL DERECHO ADMINISTRATIVO.
(EXPEDIENTE SIAF N° 05713)</t>
  </si>
  <si>
    <t xml:space="preserve">20600315057    </t>
  </si>
  <si>
    <t>SERVICIO DE CONSULTORIA PARA LA EVALUACIÓN DE ASPECTOS LEGALES DE PROYECTOS DE INVERSIÓN. EXPEDIENTE SIAF N° 05742</t>
  </si>
  <si>
    <t xml:space="preserve">42979366    </t>
  </si>
  <si>
    <t>SERVICIO DE CONSULTORIA PARA ALCANCES TÉCNICOS DE ESTUDIOS COMPLEMENTARIOS PARA EL PROYECTO SISTEMA INTEGRADO DE TRANSPORTE DE GAS (EXPEDIENTE SIAF N° 05747)</t>
  </si>
  <si>
    <t xml:space="preserve">40657661    </t>
  </si>
  <si>
    <t>SERVICIOS DE CONSULTORIA PARA LA ELABORACIÓN DE INFORME TÉCNICO SOBRE LOS TEMAS EN CONTROVERSÍA CORRESPONDIENTES AL PROYECTO LÍNEA DE TRANSMISIÓN 220 KV MONTALVO - LOA HEROES Y SUBESTACIONES ASOCIADAS (EXPEDIENTE SIAF N° 05773)</t>
  </si>
  <si>
    <t xml:space="preserve">20555839945    </t>
  </si>
  <si>
    <t>SERVICIO DE REVISIÓN DE LOS PROCEDIMIENTOS DE EVALUACIÓN PREVIA A CARGO DE LA DIRECCIÓN GENERAL DE ELECTRICIDAD PARA LA CALIFICACIÓN ADECUADA DEL SILENCIO ADMINISTRATIVO - (EXPEDIENTE SIAF N° 05843)</t>
  </si>
  <si>
    <t xml:space="preserve">20600113373    </t>
  </si>
  <si>
    <t>SERVICIO DE CONSULTORÍA PARA EL PROCESO DE ENTREVISTA Y SELECCIÓN DE LÍDERES EN LA COMUNIDAD CAMPESINA ARIRAHUA, PROVINCIA DE CONDESUYOS, DEPARTAMENTO DE AREQUIPA POR EL PROYECTO CENTRAL HIDROELÉCTRICA OCOÑA POR EL PROGRAMA DE PASANTÍA EN GESTIÓN AMBIENTAL DE ELECTRICIDAD. - (EXPEDIENTE SIAF N° 05886)</t>
  </si>
  <si>
    <t>SERVICIO DE CONSULTORÍA PERSONA NATURAL PARA EL DISEÑO DEL MANUAL DE PROCEDIMIENTOS DEL PROCESO MISIONAL ASISTENCIA TÉCNICA. EXPEDIENTE SIAF N° 05855</t>
  </si>
  <si>
    <t xml:space="preserve">43747103    </t>
  </si>
  <si>
    <t>CONSULTORÍA LEGAL PARA LA ELABORACIÓN DE TRES PROYECTOS NORMATIVOS PARA LAS ACTIVIDADES ELÉCTRICAS. EXPEDIENTE SIAF N° 05892</t>
  </si>
  <si>
    <t xml:space="preserve">41182267    </t>
  </si>
  <si>
    <t xml:space="preserve">ASESORIA Y CONSULTORIA LEGAL                                </t>
  </si>
  <si>
    <t>SERVICIO DE CONSULTORÍA PARA LA EVALUACIÓN DE PROCESOS Y MONITOREO DE LA AMPLIACIÓN DEL ALCANCE DEL SGA IMPLEMENTADO PARA LA OFICINA DE INTEGRIDAD INSTITUCIONAL DEL MINISTERIO DE ENERGÍA Y MINAS. (EXPEDIENTE SIAF N° 05893)</t>
  </si>
  <si>
    <t xml:space="preserve">20538764711    </t>
  </si>
  <si>
    <t>SERVICIO DE EVALUACIÓN DE LA GESTIÓN EFICIENTE DE LA CUENCA DEL RÍO VILCANOTA (EXPEDIENTE SIAF N° 06484)</t>
  </si>
  <si>
    <t>ASESORÍA LEGAL ESPECIALIZADA EN LOS ARBITRAJES INICIADOS EN EL MARCO DE LOS CONTRATOS DE CONCESIÓN RER (EXP SIAF 5988)</t>
  </si>
  <si>
    <t>SERVICIO DE CONSULTORÍA PARA LA ELABORACIÓN DE GUÍA PARA DIFUNDIR EL CÓDIGO DE ÉTICA Y CONDUCTA DEL PERSONAL DEL MINISTERIO DE ENERGÍA Y MINAS (EXPEDIENTE SIAF N° 06092)</t>
  </si>
  <si>
    <t>SERVICIO DE CONSULTORÍA PARA LA EVALUACIÓN DE ASPECTOS LEGALES DE PROYECTOS DE INVERSIÓN.
(EXPEDIENTE SIAF N° 06101)</t>
  </si>
  <si>
    <t xml:space="preserve">42393707    </t>
  </si>
  <si>
    <t>SERVICIO DE CONSULTORIA PARA LA EVALUACIÓN DE ASPECTOS LEGALES DE PROYECTOS NORMATIVOS (EXPEDIENTE SIAF N° 06102)</t>
  </si>
  <si>
    <t xml:space="preserve">40289640    </t>
  </si>
  <si>
    <t xml:space="preserve"> SERVICIO DE CONSULTORIA PARA ALCANCES TÉCNICOS COMPLEMENTARIOS PARA EL PROYECTO SITG (EXPEDIENTE SIAF N° 06134)</t>
  </si>
  <si>
    <t xml:space="preserve">10783582    </t>
  </si>
  <si>
    <t xml:space="preserve">SERVICIO DE CONSULTORIA PARA LA REVISION Y ACTUALIZACION DEL ESQUEMA DE DECLARACION DE PRECIOS DEL GAS NATURAL EN EL MERCADO DE GENERACION DEL SUBSECTOR ELECTRICIDAD   -  EXPEDIENTE SIAF    06380 </t>
  </si>
  <si>
    <t xml:space="preserve">L0556211974    </t>
  </si>
  <si>
    <t>SERVICIO DE CONSULTORÍA PARA REALIZAR LA GEOREFERENCIACIÓN DE COORDENADAS UTM DEL PROYECTO “SUMINISTRO DE ELECTRICIDAD CON RECURSOS ENERGÉTICOS RENOVABLES EN ÁREAS NO CONECTADAS A RED” – ZONA SUR DEL PERÚ. EXPEDIENTE SIAF N° 06367</t>
  </si>
  <si>
    <t>SERVICIO DE CONSULTORÍA PARA REVISIÓN DE LOS ANÁLISIS DE LA OPERACIÓN DE LOS SISTEMAS ELÉCTRICOS PAITA - SULLANA, TUMBES Y ALTO PIURA. EXPEDIENTE SIAF N° 06351</t>
  </si>
  <si>
    <t xml:space="preserve">20602655807    </t>
  </si>
  <si>
    <t>SERVICIO DE CONSULTORÍA TÉCNICA REGULATORÍA ESPECIALIZADA EN POLÍTICAS REGULATORIAS, BRECHAS DE INFRAESTRUCTURA Y PLANES DE CONTINGENCIA OPERATIVA PARA LA DIRECCIÓN GENERAL DE ELECTRICIDAD (EXPEDIENTE SIAF N° 06238)</t>
  </si>
  <si>
    <t xml:space="preserve">06792468    </t>
  </si>
  <si>
    <t>SERVICIO DE CONSULTORÍA ECONÓMICA FINANCIERA. (EXPEDIENTE SIAF N° 06254)</t>
  </si>
  <si>
    <t>CONSULTORÍA PARA EL DISEÑO DE UNA METODOLOGÍA DE TRABAJO PARA LA ELABORACIÓN DE UNA NUEVA LEY GENERAL DE MINERÍA (EXPEDIENTE SIAF N° 06309)</t>
  </si>
  <si>
    <t xml:space="preserve">40205677    </t>
  </si>
  <si>
    <t>SERVICIOS PARA LA ELABORACIÓN DE 06 PROYECTOS DE NORMAS TÉCNICAS PERUANAS A TRAVÉS DE LOS SUB COMITÉS TÉCNICOS DE NORMALIZACIÓN DEL COMITÉ UREEE (EXPEDIENTE SIAF N° 06340)</t>
  </si>
  <si>
    <t xml:space="preserve">20602521819    </t>
  </si>
  <si>
    <t>SERVICIO DE SOPORTE TÉCNICO DURANTE EL DESARROLLO DEL PROCEDIMIENTO DE SOLUCIÓN DE CONTROVERSIA EXISTENTE ENTRE TRANSPORTADORA DE GAS DEL PERÚ Y EL MINISTERIO DE ENERGÍA Y MINAS - (EXPEDIENTE SIAF N° 06337)</t>
  </si>
  <si>
    <t xml:space="preserve">20600930665    </t>
  </si>
  <si>
    <t>SERVICIO DE CONSULTORÍA PARA EL ANÁLISIS LEGAL EN ASOCIACIONES PÚBLICO PRIVADAS DEL SECTOR ELECTRICIDAD. EXPEDIENTE SIAF N° 06390</t>
  </si>
  <si>
    <t xml:space="preserve">07451231    </t>
  </si>
  <si>
    <t>SERVICIO DE CONSULTORÍA  PARA EL MONITOREO DEL SISTEMA DE GESTION DE CALIDAD-ISO 9001:2015 CERTIFICADO EN EL MINEM - (EXPEDIENTE SIAF N° 06353)</t>
  </si>
  <si>
    <t xml:space="preserve">40205926    </t>
  </si>
  <si>
    <t>SERVICIO DE CONSULTORÍA PERSONA NATURAL PARA ELABORAR LA PROPUESTA DEL DIAGNOSTICO PARA LA IMPLEMENTACIÓN DE LA NORMA TÉCNICA PARA LA GESTIÓN DE CALIDAD DE SERVICIOS EN EL MINEM. EXPEDIENTE SIAF N° 06477</t>
  </si>
  <si>
    <t>SERVICIO DE CONSULTORÍA PARA LA PROPUESTA  DE ACTUALIZACIÓN Y/O MODIFICACIÓN DEL REGLAMENTO DE PARTICIPACIÓN CIUDADANA EN EL SUBSECTOR MINERO APROBADO POR DECRETO SUPREMO N° 028-2008-EM Y DE LAS NORMAS QUE REGULAN EL PROCESO DE PARTICIPACIÓN CIUDADANA EN EL SUBSECTOR MINERO APROBADA POR RESOLUCIÓN. EXPEDIENTE SIAF N° 06507</t>
  </si>
  <si>
    <t xml:space="preserve">20471333604    </t>
  </si>
  <si>
    <t>CONSULTORÍA PARA COORDINAR Y GESTIONAR EL CIERRE DE LAS AMPLIACIONES DE LOS BIENES DE LA CONCESIÓN DEL SISTEMA DE TRANSMISIÓN ELÉCTRICA ETECEN-ETESUR Y EN  LAS LABORES QUE LA DIRECCIÓN GENERAL DESARROLLA EN EL MARCO DE LA COMISIÓN DE REFORMA DEL SECTOR ELÉCTRICO (EXPEDIENTE SIAF N° 06456)</t>
  </si>
  <si>
    <t xml:space="preserve">10251961    </t>
  </si>
  <si>
    <t>SERV. DE CONSULTORÍA PARA EL PROCESO DE ENTREVISTA Y SELECCIÓN DE 35 LÍDERES DEL DISTRITO DE LLUTA Y ANEXO SAN PEDRO DE QUERQUE (PROV. DE CAYLLOMA) Y CENTROS POBLADOS LLUCLLA, BETANCUR Y HUAYCA DEL DISTRITO DE SANTA ISABEL DE SIGUAS (PROV. DE AREQUIPA) - (EXP. SIAF N° 06533)</t>
  </si>
  <si>
    <t>SERVICIO DE CONSULTORIA LEGAL PARA LA INTERPRETACIÓN DE LOS CONTRATOS DE CONCESIÓN. (EXPEDIENTE SIAF N° 06558)</t>
  </si>
  <si>
    <t>SERVICIO DE CONSULTORÍA PARA IDENTIFICACIÓN Y PROPUESTA DE PROYECTOS ESTÁNDAR DE DISTRIBUCIÓN ELÉCTRICA (EXP SIAF 6611)</t>
  </si>
  <si>
    <t xml:space="preserve">20508520671    </t>
  </si>
  <si>
    <t>SERVICIO DE CONSULTORÍA PARA LA ELABORACIÓN DEL CUARTO ESTUDIO DE TRANSPARENCIA REGIONAL DE LA INICIATIVA EITI PARA LA REGIÓN PIURA 2018 (EXP SIAF 6868)</t>
  </si>
  <si>
    <t>SERVICIO DE CONSULTORIA ESPECIALIZADA PARA LA ACTUALIZACIÓN DE LA NORMATIVA SOBRE LA RECAUDACIÓN Y TRANSFERENCIA DE LOS PEAJES DE TRANSMISIÓN. (EXPEDIENTE SIAF N° 06860)</t>
  </si>
  <si>
    <t>SERVICIO DE ELABORACIÓN DE UNA MATRIZ MULTICRITERIO PARA LA EVALUACIÓN SOCIAL DE PROYECTOS DE INVERSIÓN DURANTE LOS ESTUDIOS DE PREINVERS (EXPEDIENTE SIAF N° 06854)</t>
  </si>
  <si>
    <t xml:space="preserve">20524652065    </t>
  </si>
  <si>
    <t>SERVICIO DE CONSULTORÍA PARA LA ELABORACIÓN DEL TERCER ESTUDIO DE TRANSPARENCIA REGIONAL DE LA INICIATIVA EITI PARA LA REGIÓN AREQUIPA 2018 (EXP SIAF 6869)</t>
  </si>
  <si>
    <t xml:space="preserve">10392319    </t>
  </si>
  <si>
    <t>SERVICIO DE CONSULTORÍA PARA LA ELABORACIÓN DEL PRIMER ESTUDIO DE TRANSPARENCIA REGIONAL DE LA INICIATIVA EITI PARA LA REGIÓN LORETO 2016-2018 (EXP SIAF 6870)</t>
  </si>
  <si>
    <t>SERVICIO DE CONSULTORÍA PARA LA ELABORACIÓN DEL CUARTO ESTUDIO DE TRANSPARENCIA REGIONAL DE LA INICIATIVA EITI PARA LA REGIÓN MOQUEGUA 2018 (EXP SIAF 6871)</t>
  </si>
  <si>
    <t>CONSULTORÍA PARA LA ELAB DE LA GUÍA METODOLÓGICA PARA EL INVENT DE EXIST Y RESID PARA LA IDENTIF DE BIFENILOS POLICLORADOS (PCB) Y LA GUÍA PARA LA ELAB DEL PLAN DE GESTIÓN AMBIENTAL DE PCB APLICABLES A LA ACTIVIDAD ELÉCTRICA. (EXPEDIENTE SIAF N° 06914)</t>
  </si>
  <si>
    <t xml:space="preserve">07917381    </t>
  </si>
  <si>
    <t>SERVICIO DE IDENTIFICACIÓN DE LAS PRINCIPALES SUSTANCIAS QUÍMICAS ASOCIADAS A LAS ACTIVIDADES DE PROCESAMIENTO Y REFINACIÓN, TRANSPORTE, ALMACENAMIENTO, DISTRIBUCIÓN Y COMERCIALIZACIÓN DE HIDROCARBUROS</t>
  </si>
  <si>
    <t xml:space="preserve">22092898    </t>
  </si>
  <si>
    <t>CONSULTORÍA ESPECIALIZADA PARA EL ANÁLISIS DE REQUERIMIENTOS FUNCIONALES PARA MEJORAR EL SISTEMA DE GESTIÓN DE PASIVOS AMBIENTALES MINEROS - SIGEPAM</t>
  </si>
  <si>
    <t xml:space="preserve">20538744795    </t>
  </si>
  <si>
    <t>SERVICIO DE CONSULTORÍA LEGAL PARA LA EJECUCIÓN DE LAUDO ARBITRAL. (EXPEDIENTE SIAF N° 7057)</t>
  </si>
  <si>
    <t>SERVICIO DE CONSULTORÍA PARA ASESORÍA EN TEMAS VINCULADOS A LA COMISIÓN MULTISECTORIAL PARA LA REFORMA DEL SUBSECTOR ELECTRICIDAD PROMOCIÓN DE ENERGÍAS RENOVABLES EN LOS SISTEMAS AISLADOS.(EXPEDIENTE SIAF N° 7058)</t>
  </si>
  <si>
    <t xml:space="preserve">20493147791    </t>
  </si>
  <si>
    <t>SERVICIO DE CONSULTORIA PARA LA ACTUALIZACIÓN DEL REGLAMENTO DE LAS ACTIVIDADES DE EXPLORACIÓN Y EXPLOTACIÓN DE HIDROCARBUROS, APROBADO MEDIANTE DECRETO SUPREMO N°032-2004-EM. EXPEDIENTE SIAF N° 07066</t>
  </si>
  <si>
    <t xml:space="preserve">25755578    </t>
  </si>
  <si>
    <t>SERVICIO DE CONSULTORÍA ANÁLISIS ELÉCTRICO DEL SISTEMA AISLADO IQUITOS. EXPEDIENTE SIAF N° 07142</t>
  </si>
  <si>
    <t>SERVICIO DE CONSULTORIA PARA LA EVALUACIÓN DE ASPECTOS TÉCNICOS DE PROYECTOS DE INVERSIÓN.
(EXPEDIENTE SIAF N° 07183)</t>
  </si>
  <si>
    <t xml:space="preserve">09736546    </t>
  </si>
  <si>
    <t>SERVICIO DE CONSULTORIA PARA DESARROLLAR UN PROGRAMA DE ETIQUETADO DE EFICIENCIA ENERGETICA EN VEHICULOS LIVIANOS Y MOTOTAXIS (EXP SIAF 7226)</t>
  </si>
  <si>
    <t xml:space="preserve">20471652963    </t>
  </si>
  <si>
    <t>SERVICIO DE CONSULTORÍA DE EVALUACIÓN DE LA GESTIÓN EFICIENTE DE LA CUENCA DEL RÍO CHILI. (EXPEDIENTE SIAF N° 7228)</t>
  </si>
  <si>
    <t>CONSULTORIA PARA ELABORACIÓN DE PROYECTO NORMATIVO DE REGLAMENTO DEL TERCER PÁRRAFO DEL ARTICULO 122 DEL DECRETO LEY N° 25844, LEY DE CONCESIONES ELÉCTRICAS, INCORPORADO POR D.LEG N° 1451 (EXP. SIAF N° 7229)</t>
  </si>
  <si>
    <t xml:space="preserve">20524787742    </t>
  </si>
  <si>
    <t>SERVICIO DE CONSULTORIA PARA LA EVALUACIÓN SOCIOAMBIENTAL DE LOS INFORMES Y PLANES DE REHABILITACIÓN SOBRE PASIVOS AMBIENTALES Y SITIOS CONTAMINADOS DEL SUB SECTOR HIDROCARBUROS, EN EL MARCO DE LA REMEDIACIÓN AMBIENTALES A CARGO DE LA DGH. EXPEDIENTE SIAF N° 07267</t>
  </si>
  <si>
    <t xml:space="preserve">25530623    </t>
  </si>
  <si>
    <t>SERVICIOS DE CONSULTORÍA PARA LA REVISIÓN Y VALIDACIÓN DE LOS INFORMES DE AUDITORÍA PRESENTADOS POR RED DE ENERGÍA DEL PERÚ RESPECTO DE LA AMPLIACIÓN 13 DEL CONTRATO DE CONCESIÓN DE LOS SISTEMAS DE TRANSMISIÓN ELECTRICA ETECEN-ETESUR. EXPEDIENTE SIAF N° 07268</t>
  </si>
  <si>
    <t xml:space="preserve">20118167032    </t>
  </si>
  <si>
    <t>CONSULTORÍA ELABORACIÓN DEL PROCEDIM. ADMINIST. SANCIONADOR POR INCUMPLIMIENTO DE PRESENTACIÓN DE INSTRUM. DE GESTIÓN AMBIENTAL EN LA NORMATIVIDAD SOBRE PASIVOS AMBIENTALES DE ACTIVID. MINERA.(EXP. SIAF N° 7274)</t>
  </si>
  <si>
    <t xml:space="preserve">42498596    </t>
  </si>
  <si>
    <t>CONSULTORIA PARA LA ASISTENCIA EN ACTIVIDADES DE IDENTIFICACIÓN DE PASIVOS AMBIENTALES MINEROS DE ATENCIÓN PRIORITARIA EN LAS REGIONES DE APURÍMAC Y CUSCO. (EXPEDIENTE SIAF N° 7275)</t>
  </si>
  <si>
    <t xml:space="preserve">20494317321    </t>
  </si>
  <si>
    <t>CONSULTORIA PARA LA ASISTENCIA EN ACTIVIDADES DE IDENTIFICACIÓN DE PASIVOS AMBIENTALES MINEROS DE ATENCIÓN PRIORITARIA EN LA REGIÓN LIMA.(EXPEDIENTE SIAF N° 7277)</t>
  </si>
  <si>
    <t>SERVICIO DE CONSULTORIA LEGAL Y SOCIOAMBIENTAL PARA EL ANÁLISIS Y CONFORMIDAD DEL CUMPLIMIENTO DEL MARCO LEGAL VIGENTE PARA LA EJECUCIÓN DE LOS PLANES DE ABANDONO Y PLANES DE REHABILITACIÓN APROBADOS PARA SU REMEDIACIÓN AMBIENTAL POR LA DIRECCIÓN GENERAL DE HIDROCARBUROS - MINEM. EXPEDIENTE SIAF N° 07281</t>
  </si>
  <si>
    <t xml:space="preserve">43495472    </t>
  </si>
  <si>
    <t>SERVICIO DE PATROCINIO LEGAL EN EL MARCO DE ARBITRAJE INTERNACIONAL - CONTRATO N° 031-2017-MEM/OGA Y ADENDA       (EXPEDIENTE SIAF N° 7308)</t>
  </si>
  <si>
    <t xml:space="preserve">20502804384    </t>
  </si>
  <si>
    <t>SERVICIO DE CONSULTORÍA PARA LA FORMULACIÓN DE PROYECTOS NORMATIVOS RELACIONADOS AL USO EFICIENTE DE LA ENERGÍA (EXPEDIENTE SIAF N° 07327)</t>
  </si>
  <si>
    <t xml:space="preserve">20600065905    </t>
  </si>
  <si>
    <t>SERVICIO DE CONSULTORIA PARA LA EVALUACIÓN A LA PROPUESTA DE MODIFICACIÓN A LA LEY ORGÁNICA DE HIDROCARBUROS LEY N° 26221 MEDIANTE LOS PROYECTOS DE LEY N° 98-20163-CR, 1521-2016-CR 2145/2017-CR Y 2625/2017-CR (EXPEDIENTE SIAF N° 7343)</t>
  </si>
  <si>
    <t>SERVICIO DE CONSULTORÍA PARA  ELABORACIÓN DE  LOS MANUALES DE PROCEDIMIENTOS (MAPRO) DE CINCO PROCESOS MISIONALES DEL MINISTERIO DE ENERGÍA Y MINAS (EXP SIAF 7501)</t>
  </si>
  <si>
    <t xml:space="preserve">20501766811    </t>
  </si>
  <si>
    <t xml:space="preserve">SERVICIO DE CONSULTORÍA PARA EVALUACIÓN DE LA EJECUCIÓN DE PROYECTOS VINCULANTES DEL PLAN DE TRANSMISIÓN. </t>
  </si>
  <si>
    <t xml:space="preserve">20165209185    </t>
  </si>
  <si>
    <t>CONSULTORÍA PARA ELABORACIÓN DE TÉRMINOS DE REFERENCIA PARA REALIZAR EL DIAGNÓSTICO AMBIENTAL Y SOCIAL PARA LA FORMULACIÓN DEL PROYECTO DE REMEDIACIÓN DE PASIVOS AMBIENTALES MINEROS.</t>
  </si>
  <si>
    <t xml:space="preserve">20601067430    </t>
  </si>
  <si>
    <t>SERVICIO DE ANÁLISIS DE INFORMACIÓN PARA LA ELABORACIÓN DE ESQUEMAS DE NORMAS TECNICAS PERUANAS RESPECTO A SEGURIDAD EN EL USO DE LA ELECTRICIDAD.</t>
  </si>
  <si>
    <t xml:space="preserve">SERVICIO DE CONSULTORIA PARA EL ESTUDIO DE CARGA DE TRABAJO DE LA DIRECCIÓN GENERAL DE ASUNTOS AMBIENTALES MINEROS. </t>
  </si>
  <si>
    <t xml:space="preserve">10281728    </t>
  </si>
  <si>
    <t xml:space="preserve">SERVICIO DE CONSULTORIA PARA  EVALUAR LA IMPLEMENTACIÓN DE CENTRALES SOLARES CONCENTRADAS EN EL PERÚ Y MECANISMOS DE PROMOCIÓN </t>
  </si>
  <si>
    <t xml:space="preserve">20501666786    </t>
  </si>
  <si>
    <t xml:space="preserve">SERVICIO DE CONSULTORÍA PARA UNA PROPUESTA NORMATIVA RELACIONADA A LOS INSTRUMENTOS DE GESTIÓN AMBIENTAL, SU PRESENTACIÓN POR PARTE DEL PEQUEÑO PRODUCTOR MINERO O MINERO ARTESANAL Y LOS PROCEDIMIENTOS PARA SU EVALUACIÓN. </t>
  </si>
  <si>
    <t>SERVICIOS DE PERITAJE TÉCNICO EN RELACION AL PROCESO ARBITRAL ENTRE MINEM Y C.H. MAMACOCHA.</t>
  </si>
  <si>
    <t>CONSULTORÍA ESPECIALIZ.SEGUIMIENTO VERIFICACIÓN DEL AVANCE FÍSICO EJECUCIÓN PROYECTOS DE REMEDIACIÓN DE LAS EX UNIDADES MINERAS ACOBAMBA COLQUI Y HUANCHURINA ENCARGADOS A ACTIVOS MINEROS SAC</t>
  </si>
  <si>
    <t xml:space="preserve">20392699610    </t>
  </si>
  <si>
    <t>CONSULTORIA PARA EL DISEÑO DEL PROGRAMA PRESUPUESTAL 120 "REMEDIACIÓN DE PASIVOS AMBIENTALES MINEROS" EN EL MARCO DEL PRESUPUESTO POR RESULTADOS DE LA DGM.</t>
  </si>
  <si>
    <t xml:space="preserve">06183697    </t>
  </si>
  <si>
    <t>SERVICIO DE CONSULTORIA PARA LA EVALUACIÓN DE ASPECTOS TÉCNICOS EN EL DESARROLLO DEL MERCADO DE GAS NATURAL VEHICULAR.</t>
  </si>
  <si>
    <t xml:space="preserve">20600916441    </t>
  </si>
  <si>
    <t>SERVICIO DE CONSULTORIA PARA EL DESARROLLO DE LOS NUEVOS ANEXOS DEL REGLAMENTO TECNICO SOBRE EL ETIQUETADO DE EFICIENCIA ENERGETICA PARA EQUIPOS  ENERGETICOS</t>
  </si>
  <si>
    <t>SERVICIO DE CONSULTORÍA PARA LA ACTUALIZACIÓN DE LAS PROGRAMACIONES TENTATIVAS SECTORIALES (PTS) DEL MINISTERIO DE ENERGÍA Y MINAS Y EL DISEÑO DE LA ESTRUCTURA DE UN PLAN DE MITIGACIÓN</t>
  </si>
  <si>
    <t xml:space="preserve">20506160376    </t>
  </si>
  <si>
    <t>SERVICIO DE CONSULTORÍA PARA LA ELABORACIÓN DE CATORCE (14) EXPEDIENTES QUE SUSTENTEN LAS ACTAS DE AMPLIACIÓN DE PLAZO DE PUESTA EN OPERACIÓN COMERCIAL (POC) DE LOS PROYECTOS DE TRANSMISIÓN ELÉCTRICA SEGUN LISTADO ENTREGADO POR LA DGE.</t>
  </si>
  <si>
    <t xml:space="preserve">08510232    </t>
  </si>
  <si>
    <t xml:space="preserve">SERVICIO DE CONSULTORÍA PARA CONSISTENCIA DE LOS PROGRAMAS MULTIANUALES DE INVERSIONES RESPECTO A LA VINCULACIÓN CON LOS INDICADORES DE BRECHAS DEL SECTOR ENERGÍA Y MINAS </t>
  </si>
  <si>
    <t xml:space="preserve">10000091    </t>
  </si>
  <si>
    <t xml:space="preserve">CONSULTORÍA PARA LA FORMULACIÓN DE LOS TÉRMINOS DE REFERENCIA DE LOS PROYECTOS DEL PLAN OPERATIVO DIGITAL 2020 DEL MINISTERIO DE ENERGÍA Y MINAS. </t>
  </si>
  <si>
    <t xml:space="preserve">25577282    </t>
  </si>
  <si>
    <t xml:space="preserve">SERVICIO PARA LA VERIFICACIÓN DE LAS ADQUISICIONES REALIZADAS POR LAS EMPRESAS CALIFICADAS PARA LA RECUPERACIÓN ANTICIPADA. </t>
  </si>
  <si>
    <t xml:space="preserve">CONSULTORÍA EN DESARROLLO E IMPLEMENTACIÓN DE MEJORAS AL GESTOR WEB - COBRANZA COACTIVA DEL MINISTERIO DE ENERGÍA Y MINAS. </t>
  </si>
  <si>
    <t>SERVICIO DE CONSULTORÍA PARA FORMULAR EL DIAGNÓSTICO Y LINEAMIENTOS ESTRATÉGICOS DE COMUNICACIONES DEL CENTRO DE CONVERGENCIA Y BUENAS PRÁCTICAS MINERO-ENERGÉTICAS RIMAY.</t>
  </si>
  <si>
    <t xml:space="preserve">20600013590    </t>
  </si>
  <si>
    <t>SERVICIO DE CONSULTORÍA DE EVALUACIÓN DE LA GESTIÓN EFICIENTE DE LA CUENCA DEL RÍO HUALLAGA</t>
  </si>
  <si>
    <t xml:space="preserve">SERVICIO DE CONSULTORÍA ESPECIALIZADA PARA LA ELABORACIÓN DE UNA PROPUESTA DE DECRETO DE URGENCIA PARA LA PROMOCIÓN DE LA INYECCIÓN DE ENERGÍA EN LA DISTRIBUCIÓN </t>
  </si>
  <si>
    <t>SERVICIO DE CONSULTORÍA PARA LA CONVOCATORIA, SELECCIÓN Y SEGUIMIENTO DEL DESARROLLO DE INVESTIGACIONES EN MATERIA MINERO ENERGÉTICA IMPULSADO POR EL CENTRO DE CONVERGENCIA Y BUENAS PRÁCTICAS MINERO ENERGÉTICAS RIMAY</t>
  </si>
  <si>
    <t xml:space="preserve">20500189119    </t>
  </si>
  <si>
    <t xml:space="preserve">SERVICIO DE ASISTENCIA ESPECIALIZADA LEGAL PARA LA EVALUACIÓN DE ALTERNATIVAS DE PERSONERÍA JURÍDICA PARA LA CONSTITUCIÓN DEL CENTRO DE CONVERGENCIA Y BUENAS PRÁCTICAS MINERO-ENERGÉTICAS RIMAY </t>
  </si>
  <si>
    <t xml:space="preserve">20299704913    </t>
  </si>
  <si>
    <t>CONSULTORÍA PARA LA IMPLEMENTACIÓN DE LAS MEJORES PRÁCTICAS DE DISEÑO, REDUNDANCIA Y SEGURIDAD EN LA RED LAN DEL MINISTERIO DE ENERGÍA Y MINAS.</t>
  </si>
  <si>
    <t xml:space="preserve">20522776123    </t>
  </si>
  <si>
    <t xml:space="preserve">CONSULTORIA DE PLANIFICACIÓN PARA EL SISTEMA DE GESTIÓN DE SEGURIDAD DE LA INFORMACIÓN (SGSI) DEL MINISTERIO DE ENERGÍA Y MINAS. </t>
  </si>
  <si>
    <t xml:space="preserve">20556897256    </t>
  </si>
  <si>
    <t>CONSULTORÍA LEGAL PARA EL RECONOCIMIENTO DE CRÉDITOS CONCURSALES Y/O POST CONCURSALES DEL MINISTERIO DE ENERGÍA Y MINAS CORRESPONDIENTES A OBLIGACIONES DERIVADAS DEL PLAN DE CIERRE DE MINAS EN PROCEDIMIENTOS CONCURSALES ANTE INDECOPI</t>
  </si>
  <si>
    <t xml:space="preserve">CONSULTORIA PARA LA TRANSFERENCIA DE CONOCIMIENTO PARA LA MIGRACIÓN DEL DIRECCIONAMIENTO DE REDES IPV4 A IPV6 PARA EL MINISTERIO DE ENERGÍA Y MINAS. </t>
  </si>
  <si>
    <t>SERVICIO DE CONSULTORÍA PARA EL PROCESO DE ENTREVISTA Y SELECCIÓN DE TREINTA Y CINCO (35) LÍDERES DE LOS DISTRITOS DE VICCO, NINACACA (C.C. COCHAMARCA C.C. VICCO C.C. SAN PEDRO DE NINACACA) DE LA PROVINCIA DE PASCO, REGIÓN PASCO</t>
  </si>
  <si>
    <t xml:space="preserve">ASES. Y CONSULT. EN EL SECTOR ELECTRICO (PERSONA JURIDICA)  </t>
  </si>
  <si>
    <t>SERVICIO DE CONSULTORÍA  PARA LA ELABORACIÓN  DE LOS TÉRMINOS DE REFERENCIA PARA  LA  FORMULACIÓN  DE PROYECTO DE INVERSIÓN “CREACIÓN DE LA VENTANILLA ÚNICA DIGITAL–VUD-MINEM (EXPEDIENTE</t>
  </si>
  <si>
    <t>SERVICIOS DE CONSULTORIA TECNICA ESPECIALIZADA PARA LOS ASUNTOS EN MATERIA RELACIONADA CON EL SUB-SECTOR ELECTRICIDAD ENCARGADO A LA DIRECCIÓN GENERAL DE ELECTRICIDAD</t>
  </si>
  <si>
    <t xml:space="preserve">08775197    </t>
  </si>
  <si>
    <t>SERVICIO DE CONSULTORÍA LEGAL EN LOS ARBITRAJES INICIADOS EN EL MARCO DE LOS CONTRATOS DE CONCESIÓN RER - CORRESPONDIENTE A LA SUSTENTACIÓN EN AUDIENCIA INFORME ORAL</t>
  </si>
  <si>
    <t xml:space="preserve">SERVICIO DE CONSULTORÍA PARA LA CONV., SELECCIÓN Y SEGUIMIENTO DEL DRLLO. DE INVESTIGACIONES EN MATERIA MINERO ENERGÉTICA IMPULSADO POR EL CENTRO DE CONVERGENCIA Y BUENAS PRACTS. MINERO ENERGÉTICAS RIMAY </t>
  </si>
  <si>
    <t>SERVICIO DE CONSULTORIA PARA ELABORACION DE LOS MANUALES DE PROCEDIMIENTOS (MAPRO) DE CINCO PROCESOS MISIONALES DEL MINEM CONTRATO N° 049-2019-MINEM</t>
  </si>
  <si>
    <t>SERVICIO DE CONSULTORIA ECONOMICA FINANCIERA PARA PROCESO ARBITRAL</t>
  </si>
  <si>
    <t>REVISIÓN DEL DISEÑO DE INGENIERÍA DEL CRECIMIENTO DEL DEPÓSITO DE RELAVES NIEVE UCRO II - ETAPA 5 DE LA CONCESIÓN DE BENEFICIO “CONCENTRADORA RAURA” DE COMPAÑÍA MINERA RAURA S.A.</t>
  </si>
  <si>
    <t xml:space="preserve">99000029170    </t>
  </si>
  <si>
    <t xml:space="preserve">SERVICIO DE CONSULTORÍA PARA DESARROLLAR UN PROGRAMA DE ETIQUETADO DE EFICIENCIA ENERGÉTICA DE VEHÍCULOS LIVIANOS Y MOTOTAXIS </t>
  </si>
  <si>
    <t xml:space="preserve">CONSULTORIA LEGAL PARA EL ASESORAMIENTO EN MATERIA CONTRACTUAL RELACIONADO A LA CONTROVERSIA TÉCNICA QUE SE SIGUE CON LA EMPRESA TRANSPORTADORA DEL GAS DEL PERÚ S.A. </t>
  </si>
  <si>
    <t xml:space="preserve">SERVICIO DE CONSULTORIA LEGAL RESPECTO A LAS ACCIONES A SEGUIR ANTE UNA EVENTUAL TERMINACIÓN DEL TRATO DIRECTO RELACIONADO AL CONTRATO DE CONCESIÓN DE DISTRIBUCIÓN DE GAS NATURAL POR RED DE DUCTOS - CONCESIÓN SUROESTE </t>
  </si>
  <si>
    <t xml:space="preserve">20467462874    </t>
  </si>
  <si>
    <t>SERVICIO DE CONSULTORÍA PARA LA CERTIFICACIÓN DE RECURSOS Y EVALUACIÓN DE DISPONIBILIDAD DE GAS NATURAL EN LOS LOTES DEL ÁREA DE CAMISEA PARA EL PROYECTO SITG</t>
  </si>
  <si>
    <t xml:space="preserve">L0556212951    </t>
  </si>
  <si>
    <t>CONSULTORÍA TÉCNICA PARA BRINDAR SOPORTE A LA IMPLEMENTACIÓN DE UNA GESTIÓN DE PROYECTOS BASADO EN PMO PARA EL VICEMINISTERIO DE HIDROCARBUROS - MINEM.</t>
  </si>
  <si>
    <t>SERV. DE CONSULTORÍA PERSONA NATURAL PARA BRINDAR ASIST. TÉCNICA EN EL CUMPLIMIENTO DEL DECRETO LEGISLATIVO N° 1211 RESPECTO A SERVICIOS INTEGRADOS EN LOS PROCEDIMIENTOS ADMINIST. MINEROS</t>
  </si>
  <si>
    <t>CONSULTOR ESPECIALISTA EN GESTIÓN DE PROYECTOS Y PORTAFOLIOS DE PROYECTOS DE HIDROCARBUROS PARA EL SEGUIMIENTO A LA IMPLEMENTACIÓN DE LA PMO DEL VMH</t>
  </si>
  <si>
    <t xml:space="preserve">SERVICIO DE CONSULTORIA PARA EL DIAGNOSTICO Y ESQUEMATIZACION DE LA HOJA DE RUTA PARA EL GOBIERNO DE DATOS EN EL MINEM </t>
  </si>
  <si>
    <t>CONTRATACIÓN DE UN CONSULTOR PARA LA REVISIÓN Y ACTUALIZACIÓN DEL ESQUEMA DE DECLARACIÓN DE PRECIOS DE GAS NATURAL EN EL MERCADO DE GENERACIÓN DEL SUB SECTOR ELECTRICIDAD</t>
  </si>
  <si>
    <t>UNIDAD EJECUTORA 005: DIRECCIÓN GENERAL DE ELECTRIFICACIÓN RURAL - DGER</t>
  </si>
  <si>
    <t>SERVICIO DE CONSULTORÍA PARA LA ELABORACION DE UNA PROPUESTA DE ESPECIFICACIONES TECNICAS DE BATERIAS LITIO PARA APLICACIONES DE PROYECTOS DE ELECTRIFICACION RURAL CON SISTEMAS FOTOVOLTAICOS</t>
  </si>
  <si>
    <t>41863101</t>
  </si>
  <si>
    <t>INFORME</t>
  </si>
  <si>
    <t>SERVICIO DE CONSULTORIA PARA EL SEGUIMIENTO DE INVERSIONES EN PROYECTOS DE ELECTRIFICACION RURAL A FIN DE CUMPLIR CON EL SEGUIMIENTO AL PROGRAMA DE ELECTRIFICACION RURAL QUE LLEVA A CABO LA DGER/MEM Y DE ESTE MODO IR CERRANDO LA BRECHA DE COBERTURA DEL SERVICIO ELECTRICO QUE AÚN PERSISTE EN POBLACIONES RURALES, AISLADAS Y DISPERSAS</t>
  </si>
  <si>
    <t>07202377</t>
  </si>
  <si>
    <t>SERVICIOS DE UNA CONSULTORIA PARA ELABORACION DE TREINTA (30) EXPEDIENTES DE LIQUIDACION FINAL DE PROYECTOS (RELACION DE PROYECTOS EN ANEXO N° 01)</t>
  </si>
  <si>
    <t>08449381</t>
  </si>
  <si>
    <t>SERVICIO DE UN CONSULTOR PARA QUE ELABORE LOS TERMINOS DE REFERENCIA PARA EL DESARROLLO DE UN PLAN DE INDUCCION Y CONCIENTIZACION A LOS USUARIOS DE INSTALACIONES RER AUTONOMAS IMPLEMENTADAS EN EL MARCO DEL PROGRAMA MASIVO FOTOVOLTAICO</t>
  </si>
  <si>
    <t>08691291</t>
  </si>
  <si>
    <t>SERVICIO DE UN CONSULTOR PARA LA REVISION Y ANALISIS DEL TEXTO "EL SOL EN MI CASA", ELABORADO Y PROPUESTO POR LA EMPRESA ERGON PERU S.A.C., PARA SU DIFUSION A LOS USUARIOS DE LAS INSTALACIONES RER AUTONOMAS</t>
  </si>
  <si>
    <t>SERVICIOS DE CONSULTORIA PARA EL SANEAMIENTO DE LA FRANJA DE SERVIDUMBRE DE LA OBRA: "CREACION DEL SISTEMA ELECTRICO RURAL DE LA COMUNIDAD CAMPESINA DE MICHIQUILLAY, DISTRITO DE LA ENCAÑADA - PROVINCIA DE CAJAMARCA-DEPARTAMENTO DE CAJAMARCA"</t>
  </si>
  <si>
    <t>42783316</t>
  </si>
  <si>
    <t>SERVICIO DE ELABORACION DEL PROCEDIMIENTO PARA DETERMINAR EL FACTOR DE OPERACION DEL CONJUNTO (Fo) ESTABLECIDO EN EL NUMERAL 14.7.1 DE LOS CONTRATOS DE INVERSION DE LAS ZONAS NORTE, CENTRO Y SUR, SUSCRITOS ENTRE EL MINEM Y LA EMPRESA ERGON PERU S.A.C.- ADMINISTRADOS POR LA DGER.</t>
  </si>
  <si>
    <t>07944763</t>
  </si>
  <si>
    <t>SERVICIO DE ASISTENCIA LEGAL ESPECIALIZADA EN TRES TEMAS REQUERIDOS PARA LA ADMINISTRACION DE LOS CONTRATOS DE INVERSION SUSCRITOS ENTRE EL MINEM Y LA EMPRESA ERGON PERU S.A.C.</t>
  </si>
  <si>
    <t>07753554</t>
  </si>
  <si>
    <t>SERVICIO DE UNA CONSULTORÍA PARA LA LA IMPLEMENTACION DE UN SISTEMA PARA LA RED DE ATENCION A LOS USUARIOS DE LAS INSTALACIONES RER AUTONOMAS, A CARGO DE LAS EMPRESAS DISTRIBUIDORAS</t>
  </si>
  <si>
    <t>46061583</t>
  </si>
  <si>
    <t>CONSULTORÍA PARA LA INSPECCION TECNICA DE 444 INSTALACIONES RER AUTONOMAS TIPO 1 EN LA REGION HUANCAVELICA, PROVINCIA DE ANGARAES, LIRCAY, CASTROVIRREYNA Y DEPARTAMENTO DE AYACUCHO, PROVINCIA DE LUCANAS Y EN LA REGION LIMA, PROVINCIA DE BARRANCA</t>
  </si>
  <si>
    <t xml:space="preserve">20524290562    </t>
  </si>
  <si>
    <t>SERVICIOS DE UNA CONSULTORIA PARA LA IMPLEMENTACION Y DESPLIEGUE DE UNA HERRAMIENTA INFORMATICA PARA EL REGISTRO, VISUALIZACION Y CONTROL DE INFORMACION DESCRIPTIVA DE LA SITUACION DE LOS PROYECTOS QUE GESTIONA LA DGER.</t>
  </si>
  <si>
    <t xml:space="preserve">20515012509    </t>
  </si>
  <si>
    <t>SERVICIO DE UNA CONSULTORIA EN CONTRATOS DE INVERSIÓN PÚBLICA PARA LA JEFATURA DE ENERGÍAS RENOVABLES Y LA JEFATURA DE ASESORÍA LEGAL.</t>
  </si>
  <si>
    <t>SERVICIOS DE UNA CONSULTORIA PARA LA ELABORACIÓN DE UN PROYECTO DE NORMA CON RANGO DE LEY PARA LA EJECUCIÓN DE OBRAS DE ELECTRIFICACIÓN RURAL POST COVID-19.</t>
  </si>
  <si>
    <t xml:space="preserve">20604482004    </t>
  </si>
  <si>
    <t xml:space="preserve">SERVICIO DE UNA CONSULTORIA PARA LA EVALUACION DE LAS IMPLICANCIAS LEGALES POR LA CANCELACION DE PROCEDIMIENTOS DE SELECCION A CARGO DE LA DIRECCION GENERAL DE ELECTRIFICACION RURAL EN EL MARCO DEL DECRETO SUPREMO N° 103-2020-EF. - DECRETO SUPREMO QUE ESTABLECE DISPOSICIONES REGLAMENTARIAS PARA LA TRAMITACION DE LOS PROCEDIMIENTOS DE SELECCION QUE SE REINICIEN EN EL MARCO DEL TEXTO UNICO ORDENADO DE LA LEY N° 30225. </t>
  </si>
  <si>
    <t>SERVICIOS DE CONSULTORIA PARA LA REVISION Y DETERMINACION DE REQUERIMIENTOS DE TECNOLOGIA DE LA INFORMACION DE APOYO A LA GESTION, SEGUIMIENTO Y EJECUCION DE PROYECTOS DE ELECTRIFICACION RURAL DE LA DGER/MINEM.</t>
  </si>
  <si>
    <t>23861186</t>
  </si>
  <si>
    <t xml:space="preserve">SERVICIOS DE CONSULTORIA Y ASESORIA A LA DIRECCION GENERAL DE ELECTRIFICACION RURAL DEL MINISTERIO DE ENERGIA Y MINAS, PARA DESARROLLAR LABORES DE ASESORIA Y SEGUIMIENTO DE LOS PROCESOS DE PLANEAMIENTO, EVALUACION Y EJECUCION DE LOS PROYECTOS DE ELECTRIFICACION RURAL. </t>
  </si>
  <si>
    <t>23843234</t>
  </si>
  <si>
    <t>SERVICIO DE UNA CONSULTORIA EN RELACIÓN A LOS MECANISMOS DE PROMOCIÓN DE LA INVERSION PÚBLICA - PRIVADA EN PROYECTOS ELÉCTRICOS.</t>
  </si>
  <si>
    <t>08272346</t>
  </si>
  <si>
    <t xml:space="preserve">SERVICIO DE UNA CONSULTORIA PARA ESTRUCTURAR EL PROGRAMA DE PROMOCION DE USOS PRODUCTIVOS DE LA ENERGIA ELECTRICA EN LA DIRECCION GENERAL DE ELECTRIFICACION RURAL Y LINEAMIENTOS PARA EL DISEÑO  DE LOS PROGRAMAS ESPECIFICOS A CARGO DE LAS EMPRESAS DE DISTRIBUCION ELECTRICA Y ADINELSA. </t>
  </si>
  <si>
    <t>09450608</t>
  </si>
  <si>
    <t>SERVICIO DE UNA CONSULTORIA PARA EL CONTROL GUBERNAMENTAL PARA COORDINAR, SUPERVISAR Y/O PROYECTAR DOCUMENTOS INTERNOS QUE SUSTENTEN LAS ACCIONES ADMINISTRATIVAS Y MEDIDAS DE CONTROL</t>
  </si>
  <si>
    <t>07082746</t>
  </si>
  <si>
    <t>SERVICIO DE CONSULTORIA PARA LA ASISTENCIA EN LA GESTIÓN ECONÓMICA FINANCIERA DE LA DE LA DIRECCIÓN DE FONDOS CONCURSABLES.</t>
  </si>
  <si>
    <t>07852857</t>
  </si>
  <si>
    <t>SERVICIO DE UNA CONSULTORIA PARA LA ELABORACIÓN DE UN INFORME RELATIVO A LA GESTIÓN E IMPLEMENTACION DE COMPONENTES DE LA DIRECCIÓN DE FONDOS CONCURSABLES.</t>
  </si>
  <si>
    <t>SERVICIO DE UNA CONSULTORIA PARA CONTRATACIONES PÚBLICAS PARA LA JEFATURA DE ASESORIA LEGAL.</t>
  </si>
  <si>
    <t>41821148</t>
  </si>
  <si>
    <t>SERVICIO DE UNA CONSULTORIA PARA LA ABSOLUCIÓN DE CONSULTAS EN TEMAS DE CONTRATACIONES PÚBLICAS PARA LA CONVOCATORIA DE PROCEDIMIENTOS DE SELECCIÓN EN EL MARCO POST COVID-19.</t>
  </si>
  <si>
    <t>41611839</t>
  </si>
  <si>
    <t>PPTO 2019 (AL 31/12)</t>
  </si>
  <si>
    <t>PPTO 2020 (AL 31/06)</t>
  </si>
  <si>
    <t>PPTO 2020 (PROYECCIÓN 31/12)</t>
  </si>
  <si>
    <t>CONTRATACION DEL SERVICIO DE CONSULTORIA PARA LA ELABORACION DEL EXPEDIENTE TECNICO Y AUTORIZACIONES DEL PIP 225487 PARA EL MEJORAMIENTO DEL SERVICIO DE ENERGIA ELECTRICA EN EL CENTRO NUCLEAR RACSO</t>
  </si>
  <si>
    <t>CONSOCIO ENERGY (SERV Y REPREST PROFESIONALES RUBELEC S A / CONSULTORES Y CONSTRUCTORES KEVIN S.A.C.</t>
  </si>
  <si>
    <t>EXPEDIENTE TECNICO</t>
  </si>
  <si>
    <t>12 ENERGÍA</t>
  </si>
  <si>
    <t xml:space="preserve">CONTRATACION DEL SERVICIO DE CONSULTORIA PARA SUPERVISAR Y EMITIR OPINION TECNICA DE LA ELABORACION DE EXPEDIENTE TECNICOS Y AUTORIZACIONES DEL PIP 2252487 PARA EL MEJORAMIENTO DEL SERVICIO DE ENERGIA ELECTRICA EN EL CENTRO NUCLEAR RACSO-DISTRITO DE CARABAYLLO </t>
  </si>
  <si>
    <t>HABITARQUI SAC</t>
  </si>
  <si>
    <t xml:space="preserve">INFORME </t>
  </si>
  <si>
    <t>"CONTRATACION DEL SERVICIO DE CONSULTORIA DE OBRA PARA LA SUPERVISION DE LA OBRA DEL PROYECTO"MEJORAMIENTO DEL SERVICIO DE ENERGIA ELECTRICA EN EL CENTRO NUCLEAR RACSO, DISTRITO DE CARABAYLLO, PROVINCIA Y DEPARTAMENTO DE LIMA"</t>
  </si>
  <si>
    <t>SERVICIOS Y REPRESENTACIONES PROFESIONALES RUBELEC S.A.</t>
  </si>
  <si>
    <t>CONTRATACIÓN DEL SERVICIO DE CONSULTORIA DE OBRA PARA LA ELABORACIÓN DEL EXPEDIENTE TECNICO A NIVEL DE ESTUDIO DEFINITIVO CORRESPONDIENTE AL PROYECTO DE INVERSIÓN PÚBLICA DENOMINADO: INSTALACIÓN DE UN CICLOTRON PARA PRODUCIR RADIOFARMACOS APLICABLE AL DIAGNÓSTICO ONCOLÓGICO ESPECIALIZADO A TRAVES DEL PET/TC EN LA CIUDAD DE LIMA-PERU - SNIP 65729</t>
  </si>
  <si>
    <t xml:space="preserve"> 10077188750 - RONCAL HORNA HUMBERTO</t>
  </si>
  <si>
    <t>CONTRATACIÓN DEL SERVICIO DE CONSULTORIA DE OBRA PARA LA ELABORACIÓN DEL EXPEDIENTE TÉCNICO: IRRADIACIÓN AGROINDUSTRIAL PARA EL TRATAMIENTO POST COSECHA HUARANGAL DEL DISTRITO DE CARABAYLLO, PROVINCIA DE LIMA, DEPARTAMENTO DE LIMA E IRRADIACIÓN AGROINDUSTRIAL PARA EL TRATAMIENTO POST COSECHA ZONA INDUSTRIAL II DEL DISTRITO DE PAITA, PROVINCIA DE PAITA, DEPARTAMENTO DE PIURA</t>
  </si>
  <si>
    <t xml:space="preserve">MANALBA CORP S.A.C. </t>
  </si>
  <si>
    <t>CONTRATACIÓN DEL SERVICIO DE CONSULTORIA DE OBRA PARA LA SUPERVISION DE LA  ELABORACIÓN DEL EXPEDIENTE TÉCNICO: IRRADIACIÓN AGROINDUSTRIAL PARA EL TRATAMIENTO POST COSECHA HUARANGAL DEL DISTRITO DE CARABAYLLO, PROVINCIA DE LIMA, DEPARTAMENTO DE LIMA CON CODIGO UNICO DE INVERSIONES N° 2383912 E IRRADIACIÓN AGROINDUSTRIAL PARA EL TRATAMIENTO POST COSECHA ZONA INDUSTRIAL II DEL DISTRITO DE PAITA, PROVINCIA DE PAITA, DEPARTAMENTO DE PIURA CON CODIGO UNICO DE INVERSIONES 2383932</t>
  </si>
  <si>
    <t>CONSORCIO QUIÑONEZ (EDGAR ALFREDO QUIÑONEZ GRANADOS/ANTONIO RINCON MELENDEZ)</t>
  </si>
  <si>
    <t>CONTRATACION DEL SERVICIO DE CONSULTORIA DE OBRA PARA LA ELABORACION DEL EXPEDIENTE TECNICO DEL PROYECTO : MEJORAMIENTO DEL SERVICIO DE MEDICION Y CALIBRACION DOSIMETRICA EN EL LABORATORIO SECUNDARIO DE CALIBRACIONES DOSIMETRICAS - LSCD, DEL INSTITUTO PERUANO DE ENERGIA NUCLEAR - IPEN, CENTRO POBLADO HUARANGAL DEL DISTRITO DE CARABAYLLO - PROVINCIA DE LIMA - DEPARTAMENTO DE LIMA-CODIGO UNICO DE INVERSIONES 2383935</t>
  </si>
  <si>
    <t>CONTRATACION DEL SERVICIO DE CONSULTORIA DE OBRA PARA LA ELABORACION DE EXPEDIENTE TECNICO DEL PROYECTO: MEJORAMIENTO Y AMPLIACION DE LOS SERVICIOS ADMINISTRATIVOS Y AMBIENTES COMPLEMENTARIOS DEL INSTITUTO PERUANO DE ENERGIA NUCLEAR SAN BORJA, LIMA, LIMA CON CODIGO UNICO DE INVERSIONES 379887</t>
  </si>
  <si>
    <t xml:space="preserve">ANGEL MARTIN MIRANDA FIGUEROA </t>
  </si>
  <si>
    <t xml:space="preserve">CONTRATACION DEL SERVICIO DE CONSULTORIA DE OBRA PARA LA ELABORACION DEL EXPEDIENTE TECNICO A NIVEL DE ESTUDIO DEFINITIVO DEL PROYECTO DENOMINADO "CONSTRUCCION DEL SISTEMA DE PROTECCION CONTRA INCENDIOS EN EL INSTITUTO PERUANO DE ENERGIA NUCLEAR EN LA LOCALIDAD DE HUARANGAL, DISTRITO DE CARABAYLLO, PROVINCIA DE LIMA, DEPARTAMENTO DE LIAM CON CUI 2470793 </t>
  </si>
  <si>
    <t>JOSE CAYTUIRO SANDOVAL</t>
  </si>
  <si>
    <t>PPTO 2020 (AL 30/06)</t>
  </si>
  <si>
    <t>1.- CONSULTORIA EN SISTEMA</t>
  </si>
  <si>
    <t>I-SEC INFORMATION SECURITY DEL PERU SAC.</t>
  </si>
  <si>
    <t>Implementacion del SGSI</t>
  </si>
  <si>
    <t>2.- CONSULTORIA EN SISTEMA DE INFORMACIÓN</t>
  </si>
  <si>
    <t>Elaboracion del Plan de Contingencia del Centro de Datos</t>
  </si>
  <si>
    <t>3.- CONSULTORIA DE PROYECTOS</t>
  </si>
  <si>
    <t>FIRMUX DIGITAL SAC.</t>
  </si>
  <si>
    <t>Diagnostico Situacional para la implemtación del Modelo de Gestión Documental y Evaluación de requisitos técnIcos para la implentación de un sistema de producción y almacenamiento de Microformas Digitales</t>
  </si>
  <si>
    <t>4.- CONSULTORIA EN SISTEMA DE INFORMACIÓN</t>
  </si>
  <si>
    <t>M&amp;T CORPORACION DEL PERU SAC</t>
  </si>
  <si>
    <t>Identificación y Diagnóstico de los Bancos de datos personales del INGEMMET</t>
  </si>
  <si>
    <t>5.- CONSULTORIA EN PLAN DEL INGEMMET</t>
  </si>
  <si>
    <t>MALPARTIDA ASENCIO ELVIS GONZALO</t>
  </si>
  <si>
    <t>Elaboración del Plan del Gobierno Digital de la Institución</t>
  </si>
  <si>
    <t>6.- CONSULTORÍA PARA LA ELABORACIÓN DEL PLAN DE ECOEFICIENCIA INSTITUCIONAL</t>
  </si>
  <si>
    <t>SILVA LOZADA WILFREDO ROLANDO</t>
  </si>
  <si>
    <t>Formulación y Evaluación de Planes para la Elaboración de propuesta del Plan de Ecoeficiencia del INGEMMET</t>
  </si>
  <si>
    <t>PPTO 2019 (PROYECCIÓN 31/12)</t>
  </si>
  <si>
    <t>FORMATO 10: INFORMACIÓN DE REMUNERACIONES Y NÚMERO DE PLAZAS - PRESUPUESTO 2019, 2020 Y PROYECTO 2021</t>
  </si>
  <si>
    <t>PLIEGO: 016 MINISTERIO DE ENERGIA Y MINAS</t>
  </si>
  <si>
    <t>VARIACION 2021-2020</t>
  </si>
  <si>
    <t>PROVISIONES CTS</t>
  </si>
  <si>
    <t>SEGUROS (SEGURO VIDA Y SCTR)</t>
  </si>
  <si>
    <t>OTROS (CTS) (**)</t>
  </si>
  <si>
    <t>F-7</t>
  </si>
  <si>
    <t>F-6</t>
  </si>
  <si>
    <t>F-5</t>
  </si>
  <si>
    <t>F-4</t>
  </si>
  <si>
    <t>F-3</t>
  </si>
  <si>
    <t>F-2</t>
  </si>
  <si>
    <t>SP-A</t>
  </si>
  <si>
    <t>SP-B</t>
  </si>
  <si>
    <t>SP-C</t>
  </si>
  <si>
    <t>SP-D</t>
  </si>
  <si>
    <t>SP-E</t>
  </si>
  <si>
    <t>ST-A</t>
  </si>
  <si>
    <t>ST-B</t>
  </si>
  <si>
    <t>ST-C</t>
  </si>
  <si>
    <t>ST-D</t>
  </si>
  <si>
    <t>ST-E</t>
  </si>
  <si>
    <t>SA-A</t>
  </si>
  <si>
    <t>SA-C</t>
  </si>
  <si>
    <t>SA-E</t>
  </si>
  <si>
    <t>UNIDAD EJECUTORA 001:  MINISTERIO DE ENERGÍA Y MINAS - CENTRAL</t>
  </si>
  <si>
    <t>TOTAL INGRESO ANUAL PEA (Proyección al 31 de diciembre de  2020)</t>
  </si>
  <si>
    <t>TOTAL INGRESO ANUAL PEA (Proyección al 31 de diciembre de 2021)</t>
  </si>
  <si>
    <t>FUNCIONARIOS</t>
  </si>
  <si>
    <t>SPB</t>
  </si>
  <si>
    <t>SPC</t>
  </si>
  <si>
    <t>SPD</t>
  </si>
  <si>
    <t>UNIDAD EJECUTORA 005:  DIRECCIÓN GENERAL DE ELECTRIFICACIÓN RURAL - DGER</t>
  </si>
  <si>
    <t>P-12</t>
  </si>
  <si>
    <t>T-2</t>
  </si>
  <si>
    <t>OTRAS CONTRIBUCIONES DEL EMPLEADOR</t>
  </si>
  <si>
    <t>COMPENSACION POR TIEMPO DE SERVICIO (CTS)</t>
  </si>
  <si>
    <t>CTS</t>
  </si>
  <si>
    <r>
      <rPr>
        <b/>
        <sz val="8"/>
        <rFont val="Calibri"/>
        <family val="2"/>
      </rPr>
      <t xml:space="preserve">LAS COLUMNAS COMO SEAN NECESARIAS, </t>
    </r>
    <r>
      <rPr>
        <sz val="8"/>
        <rFont val="Calibri"/>
        <family val="2"/>
      </rPr>
      <t xml:space="preserve">SE CONSIGNARA LOS OTROS BENEFICIOS - ASIGNACIONES MENSUALES PERIODICOS  DE UN SERVIDOR EN CADA NIVEL SEGÚN CORRESPONDA NO CONSIGNADO EN LOS </t>
    </r>
  </si>
  <si>
    <r>
      <rPr>
        <b/>
        <sz val="8"/>
        <rFont val="Calibri"/>
        <family val="2"/>
      </rPr>
      <t xml:space="preserve">LAS COLUMNAS COMO SEAN NECESARIAS, </t>
    </r>
    <r>
      <rPr>
        <sz val="8"/>
        <rFont val="Calibri"/>
        <family val="2"/>
      </rPr>
      <t xml:space="preserve">SE CONSIGNARA LOS OTROS BENEFICIOS - ASIGNACIONES PERIODICOS O NO PERIODICAS DE UN SERVIDOR EN CADA NIVEL SEGÚN CORRESPONDA NO CONSIGNADO EN LOS </t>
    </r>
  </si>
  <si>
    <t>001 MINEM-CENTRAL</t>
  </si>
  <si>
    <t xml:space="preserve"> Calle de Osores Rosa</t>
  </si>
  <si>
    <t>BIEN PROPIO</t>
  </si>
  <si>
    <t>ESCRITURA 701</t>
  </si>
  <si>
    <t>1/09/2018 - 31/01/2019</t>
  </si>
  <si>
    <t>MENSUAL</t>
  </si>
  <si>
    <t>13/02/2019 - 13/04/2019</t>
  </si>
  <si>
    <t xml:space="preserve"> Cervantes Ramirez Gisela Nora</t>
  </si>
  <si>
    <t>SI</t>
  </si>
  <si>
    <t xml:space="preserve"> Obando Montero de Celi Aura Elida</t>
  </si>
  <si>
    <t>P15161711</t>
  </si>
  <si>
    <t>1/01/2019 - 28/02/2019</t>
  </si>
  <si>
    <t xml:space="preserve"> Consorcio Llacon S.A.C</t>
  </si>
  <si>
    <t>11111371 - A0001</t>
  </si>
  <si>
    <t>01/11/2018 - 31/01/2019</t>
  </si>
  <si>
    <t xml:space="preserve"> Torres Lovaton Vda de Hishikawa Hellen HOrtencia</t>
  </si>
  <si>
    <t>11003858 - C00003</t>
  </si>
  <si>
    <t>01/8/2018 - 31/01/2019</t>
  </si>
  <si>
    <t>01/02/2019 - 31/05/2019</t>
  </si>
  <si>
    <t>01/06/2019 - 30/06/2019</t>
  </si>
  <si>
    <t xml:space="preserve"> Manrique Contreras Saditte Esther</t>
  </si>
  <si>
    <t>11247501 - C00001</t>
  </si>
  <si>
    <t>Comité de Administración de Fondo de Asistencia Social - CAFAE</t>
  </si>
  <si>
    <t>41806990 - C00001</t>
  </si>
  <si>
    <t>31/01/2020 - 01/03/2020</t>
  </si>
  <si>
    <t>018: MINEM</t>
  </si>
  <si>
    <t>220:  IPEN</t>
  </si>
  <si>
    <t>Giovana Valencia Gutierrez de Barraza</t>
  </si>
  <si>
    <t>Contrato N°080-2017 del 31/10/2017</t>
  </si>
  <si>
    <t>Área 200 m2</t>
  </si>
  <si>
    <t>Adenda culmina el 06/12/2020</t>
  </si>
  <si>
    <t>PAGOS MENSUAL FECHA DE PAGO LOS 22 DE CADA MES</t>
  </si>
  <si>
    <t>María Gabriela Cordova Yllanes de Vasquez</t>
  </si>
  <si>
    <t>Contrato N° 078-2017 de fecha 20/10/2017</t>
  </si>
  <si>
    <t>Área Techada Total 499.20m2</t>
  </si>
  <si>
    <t>Adenda culmina el 21/10/2020</t>
  </si>
  <si>
    <t>MENSUAL. PAGOS ADELANTADOS SEGÚN CONTRATO.</t>
  </si>
  <si>
    <t>Luz Marina Revollar Arteaga</t>
  </si>
  <si>
    <t>Adenda N° 01 al Contrato N° 036-2019</t>
  </si>
  <si>
    <t>Área 110 m2</t>
  </si>
  <si>
    <t>Ultima Adenda culmina el 03/01/2021</t>
  </si>
  <si>
    <t>Cesar jesus Salazar Valverde</t>
  </si>
  <si>
    <t>P37007327</t>
  </si>
  <si>
    <t>Contrato N° 011-2018 de fecha 24/05/2018</t>
  </si>
  <si>
    <t>70.00 m2</t>
  </si>
  <si>
    <t>Adenda culmina el 25/12/2020</t>
  </si>
  <si>
    <t>Rosalia Candelaria Cardenas Menacho</t>
  </si>
  <si>
    <t>Contrato N°019-2018 de fecha 21/06/2018</t>
  </si>
  <si>
    <t>300.69 m2</t>
  </si>
  <si>
    <t>Adenda N°001-2019 contrato culmina el 21/06/2021</t>
  </si>
  <si>
    <t>Ofelia Camacho de Soto</t>
  </si>
  <si>
    <t>Contrato N° 016-2018</t>
  </si>
  <si>
    <t>79.04m2</t>
  </si>
  <si>
    <t>Adenda N°003-2020  hasta el 11/01/2021.</t>
  </si>
  <si>
    <t>Vilma Teodora Morales Vda. De Franco</t>
  </si>
  <si>
    <t>Contrato N° 022-19 del 18/06/2019</t>
  </si>
  <si>
    <t>70 m2</t>
  </si>
  <si>
    <t>Culmina el 19/12/2020</t>
  </si>
  <si>
    <t>Luz Primitiva Chirinos Ugarte</t>
  </si>
  <si>
    <t>Contrato N° 045-2019</t>
  </si>
  <si>
    <t xml:space="preserve"> Culmina el 12/10/2020</t>
  </si>
  <si>
    <t>Joel Miguel Calderon Valderrama</t>
  </si>
  <si>
    <t>Contrato N° 024-2017 del 15/03/2018</t>
  </si>
  <si>
    <t>143 m2</t>
  </si>
  <si>
    <t>Adenda N° 02 contrato culmina el 01/04/2021</t>
  </si>
  <si>
    <t>Reynaldo Ikeda Yoshikwawa</t>
  </si>
  <si>
    <t>Contrato 035-2019 de fecha 28/08/2019</t>
  </si>
  <si>
    <t>70m2</t>
  </si>
  <si>
    <t>Adenda N° 01 culmina el 31/12/2020</t>
  </si>
  <si>
    <t>221:  INGEMMET</t>
  </si>
  <si>
    <t>001:  INGEMMET</t>
  </si>
  <si>
    <t>001:  IPEN</t>
  </si>
  <si>
    <t>RDR</t>
  </si>
  <si>
    <t>COORDINADOR DE PUBLICACION Y EVENTOS</t>
  </si>
  <si>
    <t>ABANTO LEON CARLOS ALBERTO</t>
  </si>
  <si>
    <t>DISEÑO GRAFICO PUBLICITARIO</t>
  </si>
  <si>
    <t>LOGRADO(TITULADO)</t>
  </si>
  <si>
    <t>TECNICO</t>
  </si>
  <si>
    <t>ESPECIALISTA I - LEGAL</t>
  </si>
  <si>
    <t>ABREGÚ CALDERÓN PABEL SOYIM</t>
  </si>
  <si>
    <t>DERECHO</t>
  </si>
  <si>
    <t>SUPERIOR</t>
  </si>
  <si>
    <t>COORDINACION ADMINISTRATIVA</t>
  </si>
  <si>
    <t>ACOSTA BRICEÑO GABY AMELIA</t>
  </si>
  <si>
    <t>CONTABILIDAD</t>
  </si>
  <si>
    <t>ESPECIALISTA EN DESCENTRALIZAC. Y COORD. REGIONAL</t>
  </si>
  <si>
    <t>ACOSTA MELENDEZ ROLANDO</t>
  </si>
  <si>
    <t>ECONOMIA</t>
  </si>
  <si>
    <t>ESPECIALISTA LEGAL EN MATERIA MINERO AMBIENTAL</t>
  </si>
  <si>
    <t>ACOSTA PABLO KARIN</t>
  </si>
  <si>
    <t>BACHILLER</t>
  </si>
  <si>
    <t>ASISTENCIA ADMINISTRATIVA</t>
  </si>
  <si>
    <t>ACUÑA PRADO NELBA</t>
  </si>
  <si>
    <t>DERECHO Y CC.PP</t>
  </si>
  <si>
    <t>FORMANDO</t>
  </si>
  <si>
    <t>EJEC. DE TRAB. DE CAMPO EN DES. DE PROG. DE SECIBI</t>
  </si>
  <si>
    <t>ADRIANZEN ROMERO JOSE ERNESTO</t>
  </si>
  <si>
    <t>INGENIERO AGRÓNOMO</t>
  </si>
  <si>
    <t>ANALISTA I LEGAL DE CONSULTA PREVIA</t>
  </si>
  <si>
    <t>AGARIJO CONCHA JESSICA YURIKO</t>
  </si>
  <si>
    <t>ASISTENTE DE ARCHIVO</t>
  </si>
  <si>
    <t>AGUAYO CORDOVA ALEX CESAR</t>
  </si>
  <si>
    <t>COMPUTACION</t>
  </si>
  <si>
    <t>AUXILIAR EN ADM. DOCUMENTAL</t>
  </si>
  <si>
    <t>AGUILAR ESPINO CHRISTHIAN MOISES</t>
  </si>
  <si>
    <t>ANALISTA BILINGUE DE ESTADISTICA MINERA</t>
  </si>
  <si>
    <t>AGUINAGA FONSECA MARIA VALERIA</t>
  </si>
  <si>
    <t>CIENCIAS ECONOMICAS</t>
  </si>
  <si>
    <t>ASESOR TECNICO DEL SECTOR HIDROCARBUROS</t>
  </si>
  <si>
    <t>AGUIRRE ZURITA CARLOS JAVIER</t>
  </si>
  <si>
    <t xml:space="preserve">ANALISTA II - EN PROMOCIÓN ELÉCTRICA </t>
  </si>
  <si>
    <t>ALARCON CUBAS HENRY JONATHAN</t>
  </si>
  <si>
    <t>INGENIERIA ELECTRICA</t>
  </si>
  <si>
    <t>ANALISTA I SOCIAL DE CONSULTA PREVIA</t>
  </si>
  <si>
    <t>ALATA QUISPE EYNER</t>
  </si>
  <si>
    <t>ANTROPOLOGIA</t>
  </si>
  <si>
    <t>PROFESIONAL CON EXPERIENCIA Y CONOCIMIENTOS EN AUD</t>
  </si>
  <si>
    <t>ALBERCA BARANDIARAN VICTOR ENRIQUE</t>
  </si>
  <si>
    <t>INGENIERIA MECANICA ELECTRICA</t>
  </si>
  <si>
    <t>ARTESANO</t>
  </si>
  <si>
    <t>ALCARAZ LEZARBE AQUILES FLORIAN</t>
  </si>
  <si>
    <t>SECUNDARIA</t>
  </si>
  <si>
    <t>INCONCLUSO</t>
  </si>
  <si>
    <t>ANALISTA EN GEST. ADM.</t>
  </si>
  <si>
    <t>ALCEDO NUÑEZ LUIS ENRIQUE</t>
  </si>
  <si>
    <t>CIENCIAS DE LA COMUNICACION</t>
  </si>
  <si>
    <t>ESPECIALISTA I - ASUNTOS AMBIENTALES</t>
  </si>
  <si>
    <t>ALEGRE BUSTAMANTE LAURA MELISSA</t>
  </si>
  <si>
    <t>BIOLOGIA</t>
  </si>
  <si>
    <t>ANALISTA III - EVALUACIÓN DE INSTRUMENTOS DE GESTIÓN AMBIENTAL</t>
  </si>
  <si>
    <t>ALEGRE RODRIGUEZ LUIS ALBERT</t>
  </si>
  <si>
    <t>INGENIERIA AMBIENTAL</t>
  </si>
  <si>
    <t>CONDUCTOR</t>
  </si>
  <si>
    <t>ALFARO ALVARADO LUIS ERASMO</t>
  </si>
  <si>
    <t>COORDINADOR ADMINISTRATIVO</t>
  </si>
  <si>
    <t>ALVA ANDRADE CHRISTIAN</t>
  </si>
  <si>
    <t>EVALUACION DE EXP. DE PROYECTOS MINERO METALURGICO</t>
  </si>
  <si>
    <t>ALVARADO HUAMAN CIRO</t>
  </si>
  <si>
    <t>INGENIERIA METALURGICA</t>
  </si>
  <si>
    <t xml:space="preserve">ESPECIALISTA III DE TÉCNICA MINERA   </t>
  </si>
  <si>
    <t>ALVARADO QUISPE CARLOS SANTOS</t>
  </si>
  <si>
    <t>INGENIERIA DE MINAS</t>
  </si>
  <si>
    <t>ASISTENTE PROFESIONAL GEOGRAFO</t>
  </si>
  <si>
    <t>ALVARADO QUISPE LUIS ALFONSO</t>
  </si>
  <si>
    <t>INGENIERIA GEOGRAFICA</t>
  </si>
  <si>
    <t>ASISTENTE DE ALTA DIRECCION II</t>
  </si>
  <si>
    <t>ALVAREZ BOCANEGRA BLANCA LUZ</t>
  </si>
  <si>
    <t>SECRETARIADO EJECUTIVO</t>
  </si>
  <si>
    <t>SECRETARIA</t>
  </si>
  <si>
    <t>ALVAREZ CAMPOS RUTH ANGELICA</t>
  </si>
  <si>
    <t>EGRESADO</t>
  </si>
  <si>
    <t>ESPECIALISTA II EN PROCESOS DE SELECCION</t>
  </si>
  <si>
    <t>ALVAREZ ROBERTO MICHELE ALEJANDRO</t>
  </si>
  <si>
    <t>INGENIERIA DE SISTEMAS</t>
  </si>
  <si>
    <t>ASISTENTE TECNICO DE GEST. DOCUMENTAL Y ATENCION U</t>
  </si>
  <si>
    <t>ALVAREZ ROSALES EDITH YOSI</t>
  </si>
  <si>
    <t>ANALISTA EN GESTION DE INCORPORACION</t>
  </si>
  <si>
    <t>ALZAMORA SAAVEDRA MAYRA STEFANIA</t>
  </si>
  <si>
    <t>LICENCIADO EN PSICOLOGIA</t>
  </si>
  <si>
    <t>ANALISTA III DE TRATAMIENTO Y SEGUIMIENTO DE CONFLICTOS SOCIALES</t>
  </si>
  <si>
    <t>AMARO BELTRAN DANIEL ANGEL</t>
  </si>
  <si>
    <t>HISTORIA</t>
  </si>
  <si>
    <t>COORDINADOR DEL ARCHIVO CENTRAL</t>
  </si>
  <si>
    <t>AMASIFUEN ENCISO CARLOS EDISON</t>
  </si>
  <si>
    <t>ESPECIALISTA I DE PASIVOS AMBIENTALES MINEROS</t>
  </si>
  <si>
    <t>ANAYA HILARIO ISABEL MAGALY</t>
  </si>
  <si>
    <t>ANALISTA LEGAL EN NORMATIVIDAD AMBIENTAL</t>
  </si>
  <si>
    <t>ANCIETA SANCHEZ WENDY VALERIA</t>
  </si>
  <si>
    <t>JEFE DE LA OFICINA GENERAL DE ASESORIA JURIDICA</t>
  </si>
  <si>
    <t>ANGULO GARCIA JESSICA GABRIELA</t>
  </si>
  <si>
    <t xml:space="preserve">ASISTENTE PROFESIONAL DE INGENIERÍA MINERA </t>
  </si>
  <si>
    <t>ANTEZANO MUNAYLLA MIGUEL ANGEL</t>
  </si>
  <si>
    <t>DIRECTOR (E)</t>
  </si>
  <si>
    <t>APESTEGUI VIDAL JOHN NORBERTO</t>
  </si>
  <si>
    <t>INGENIERIA INDUSTRIAL</t>
  </si>
  <si>
    <t>ASISTENTE PROFESIONAL DE GESTION ADMINISTRATIVA</t>
  </si>
  <si>
    <t>ARANA MASGO FIORELA IRMA LUCIA</t>
  </si>
  <si>
    <t>TERAPEUTA FISICO</t>
  </si>
  <si>
    <t>ARANIBAR PEREZ ALEXEI</t>
  </si>
  <si>
    <t>TECNOLOGIA EN URGENCIAS MEDICAS Y DESASTRES</t>
  </si>
  <si>
    <t>ANALISTA II - DE MONITOREO DE MEDIOS</t>
  </si>
  <si>
    <t>ARAUJO PERALES CARLOS SANDRO</t>
  </si>
  <si>
    <t>LICENCIADO EN CIENCIAS DE LA COMUNICACION</t>
  </si>
  <si>
    <t>ANALISTA I DE  MONITOREO PROGRAMA DE INTEGRACIÓN</t>
  </si>
  <si>
    <t>AREVALO LIMA KATYA SOCORRO</t>
  </si>
  <si>
    <t>ANALISTA III DE FACILITACIÓN DE DIÁLOGO</t>
  </si>
  <si>
    <t>AREVALO QUEVEDO JUAN MANUEL</t>
  </si>
  <si>
    <t>ESPEC. EN GESTION ADMINISTRATIVA</t>
  </si>
  <si>
    <t>ARHUATA PLATERO PILAR ROSA</t>
  </si>
  <si>
    <t xml:space="preserve">LICENCIADO EN ADMINISTRACION </t>
  </si>
  <si>
    <t>DIRECTOR  (DIRECTOR DE PROG. SECT. I).</t>
  </si>
  <si>
    <t>ARIAS DIAZ DAVID HECTOR</t>
  </si>
  <si>
    <t>ASISTENCIA EN ARCHIVO</t>
  </si>
  <si>
    <t>ARIAS RAMOS ANGEL CESAR</t>
  </si>
  <si>
    <t>LABORATORISTA</t>
  </si>
  <si>
    <t>ESPECIALISTA III DE TRAZABILIDAD</t>
  </si>
  <si>
    <t>ARISTA RIVERA FRANCO</t>
  </si>
  <si>
    <t>INGENIERO AGRÍCOLA</t>
  </si>
  <si>
    <t>ANALISTA III DE GESTION</t>
  </si>
  <si>
    <t>ARIZA AGUERO ALEJANDRO</t>
  </si>
  <si>
    <t>AUXILIAR DE ARCHIVO</t>
  </si>
  <si>
    <t>ARIZA AGUERO LUIS</t>
  </si>
  <si>
    <t>CERTIFICADO - INSTITUTO</t>
  </si>
  <si>
    <t>ESPECIALISTA LEGAL</t>
  </si>
  <si>
    <t>ARIZMENDI SABOYA ALDO ENRIQUE</t>
  </si>
  <si>
    <t>ASIST. Y SEG. DE EVENTOS CAPAC. Y EVAL DE PERSONAL</t>
  </si>
  <si>
    <t>ARRASCUE QUEVEDO DE FERNANDEZ LOURDES AMERICA</t>
  </si>
  <si>
    <t>ESPECIALISTA II DERECHO ADMINISTRATIVO</t>
  </si>
  <si>
    <t>ARREDONDO PEREZ .NORA CRISTINA</t>
  </si>
  <si>
    <t>ASISTENTE ADMINISTRATIVO</t>
  </si>
  <si>
    <t>ARREGUI CABRERA ERIC ALEXANDER</t>
  </si>
  <si>
    <t xml:space="preserve">ANALISTA  III LEGAL  </t>
  </si>
  <si>
    <t>ASCASIBAR OLAYA VANESSA STEFANNY</t>
  </si>
  <si>
    <t>ASISTENTE EN GESTIÓN DOCUMENTAL</t>
  </si>
  <si>
    <t>AVALOS BANEO CRISTIAN NICOLAS</t>
  </si>
  <si>
    <t>ESPECIALISTA II DE GEST. SOCIAL DEL A. MIN.ELEC.HI</t>
  </si>
  <si>
    <t>AYALA IZQUIERDO FRANCISCO ANTONIO</t>
  </si>
  <si>
    <t>INGENIERIA AGRICOLA</t>
  </si>
  <si>
    <t>ASESOR II - JEFE DE GABINETE DE ASESORES</t>
  </si>
  <si>
    <t>BALCAZAR SUAREZ JUANA ROSA ANA</t>
  </si>
  <si>
    <t>LICENCIADO EN ECONOMIA</t>
  </si>
  <si>
    <t xml:space="preserve">BALLESTEROS  INCIO FLOR DE MARIA </t>
  </si>
  <si>
    <t>ASESOR DE LA ALTA DIRECCION DEL DESP. MINISTERIAL</t>
  </si>
  <si>
    <t>BARRANZUELA FARFAN LUIS</t>
  </si>
  <si>
    <t>SECRETARIA (O)</t>
  </si>
  <si>
    <t>BARRENECHEA MENA NIDIA</t>
  </si>
  <si>
    <t>SECRETARIADO COMERCIAL</t>
  </si>
  <si>
    <t>ANALISTA EN GEST. SOCIAL DEL AMBITO MINERO ENE. HI</t>
  </si>
  <si>
    <t>BARRON BRAVO FLOR DE GUADALUPE</t>
  </si>
  <si>
    <t>BELTRAN PEREZ SILVIA INES</t>
  </si>
  <si>
    <t>SECRETARIADO</t>
  </si>
  <si>
    <t>ASISTENCIA LEGAL</t>
  </si>
  <si>
    <t>BENDEZU RAMOS KATTY ANDREA</t>
  </si>
  <si>
    <t>APOYO ADMINISTRATIVO</t>
  </si>
  <si>
    <t>BENITES LANDA EDWIN ENRIQUE</t>
  </si>
  <si>
    <t>ADMINISTRACION</t>
  </si>
  <si>
    <t>ESPECIALISTA EN SEG. Y MONIT. DE COMPROMISOS SOCIA</t>
  </si>
  <si>
    <t>BENITES PISCOYA EDGARD ENRIQUE</t>
  </si>
  <si>
    <t>ASISTENTE - EVALUACIÓN DEL COMPONENTE SOCIAL DE LOS ESTUDIOS AMBIENTALES</t>
  </si>
  <si>
    <t>BENITO CCUNO GERALDINE LUZ</t>
  </si>
  <si>
    <t>SOCIOLOGIA</t>
  </si>
  <si>
    <t>ESPECIALISTA II DE PREVENCIÓN DE CONFLICTOS SOCIALES</t>
  </si>
  <si>
    <t>BERNUY QUIROZ RENZO CARLOS</t>
  </si>
  <si>
    <t xml:space="preserve">BERROSPI GALINDO ROSA CATHERINE </t>
  </si>
  <si>
    <t>ESPECIALISTA II EN COMUNICACIONES</t>
  </si>
  <si>
    <t>BERTRAN  SOTOMAYOR LUZ MARIA</t>
  </si>
  <si>
    <t>ESPECIALISTA II - SOCIAL</t>
  </si>
  <si>
    <t>BLANCO ARANDA IRMA CONSUELO</t>
  </si>
  <si>
    <t>ANALISTA II - GESTIÓN ADMINISTRATIVA</t>
  </si>
  <si>
    <t>BONILLA COLOMA ALFONSO MARTIN</t>
  </si>
  <si>
    <t>ANALISTA II - ASUNTOS AMBIENTALES</t>
  </si>
  <si>
    <t>BOTTGER BORONDA AUGUSTO LENIN</t>
  </si>
  <si>
    <t>ANALISTA I - ASUNTOS AMBIENTALES</t>
  </si>
  <si>
    <t>BÖTTGER GAMARRA JOYCE CAROL</t>
  </si>
  <si>
    <t>INGENIERIA QUIMICA</t>
  </si>
  <si>
    <t>ASISTENTE ADM. PARA EL AREA DE ALMACEN</t>
  </si>
  <si>
    <t>BRACAMONTE CUENCA PERCY JUNIOR</t>
  </si>
  <si>
    <t>COORDINADOR DE ASUNTOS SOCIALES DE FORM. MINERA</t>
  </si>
  <si>
    <t>BRAVO MESIA OSCAR</t>
  </si>
  <si>
    <t>BRIONES  VERDE  MURIEL ODETTE</t>
  </si>
  <si>
    <t>SECRETATRIADO BILINGUE</t>
  </si>
  <si>
    <t>ANALISTA EN MEDIOS VISUALES Y REDES SOCIALES</t>
  </si>
  <si>
    <t>BUENDIA TORRES GABRIELA FERNANDA</t>
  </si>
  <si>
    <t>ESPECIALISTA EN GESTION DE PROCESOS</t>
  </si>
  <si>
    <t>BUJAICO CARLOS JOSE LUIS</t>
  </si>
  <si>
    <t>ANALISTA I DE COMUNICACION DEL PROG. DE INTEGRACIO</t>
  </si>
  <si>
    <t xml:space="preserve">BURE LABÁN  ALBANIA MAGNOLIA </t>
  </si>
  <si>
    <t>LICENCIADO EN COMUNICACIÓN</t>
  </si>
  <si>
    <t>ESPECIALISTA III EVALUACIÓN AMBIENTAL MINERA</t>
  </si>
  <si>
    <t>BUSTAMANTE BECERRA JOSE LUIS</t>
  </si>
  <si>
    <t>OPERADOR LOGISTICO</t>
  </si>
  <si>
    <t>BUSTAMANTE VELARDE ENIT LUCY</t>
  </si>
  <si>
    <t>ASESOR EN GEST. DESCENTRALIZADA DE LA DGFM</t>
  </si>
  <si>
    <t xml:space="preserve">BUSTINZA   CAMAPAZA ROGER  VLADIMIR </t>
  </si>
  <si>
    <t>COORDINADOR LEGAL</t>
  </si>
  <si>
    <t>CABALLERO RETAMOZO JUAN JOSE</t>
  </si>
  <si>
    <t>ANALISTA  III AMBIENTAL</t>
  </si>
  <si>
    <t>CABELLO DUEÑAS GLADYS SUSAN</t>
  </si>
  <si>
    <t xml:space="preserve">ANALISTA III - LEGAL </t>
  </si>
  <si>
    <t>CAJO MOZO FATIMA GUDELY</t>
  </si>
  <si>
    <t>ASIST. EN COMUNICACION INTERNA</t>
  </si>
  <si>
    <t>CALDAS PRADA SUSANA LIDIANA</t>
  </si>
  <si>
    <t>CALDERON CASAFRANCA MANUEL ANTONIO</t>
  </si>
  <si>
    <t>ESPECIALISTA III LEGAL</t>
  </si>
  <si>
    <t>CALDERON VASQUEZ KATHERINE GREEN</t>
  </si>
  <si>
    <t>ANALISTA AMBIENTAL EN UNID. MENORES DE HIDROC.  II</t>
  </si>
  <si>
    <t>CALLA LLONTOP HELEN JESUS</t>
  </si>
  <si>
    <t>ESPECIALISTA I – SERVIDUMBRES ELÉCTRICAS</t>
  </si>
  <si>
    <t>CALLE ZUMAETA HENRY JORGAN</t>
  </si>
  <si>
    <t>CALZADO PALOMINO MAURO JESUS</t>
  </si>
  <si>
    <t>TECNICO-CHOFER</t>
  </si>
  <si>
    <t xml:space="preserve">ESPECIALISTA II DE CONTROL PREVIO </t>
  </si>
  <si>
    <t>CAMAC VICUÑA JORGE ANTONIO</t>
  </si>
  <si>
    <t>ANALISTA I - INGENIERIA DE HIDROCABUROS Y FEPC</t>
  </si>
  <si>
    <t>CAMARENA ALVA IVAN</t>
  </si>
  <si>
    <t>INGENIERIA PETROQUIMICA</t>
  </si>
  <si>
    <t>COOORDINADOR DE INST. CORRECTIVOSDE EXPLOR. Y EXPL</t>
  </si>
  <si>
    <t>CAMAYO  YAURI  CHRIS MABEL</t>
  </si>
  <si>
    <t>ANALISTA III DE TECNICA MINERÍA</t>
  </si>
  <si>
    <t>CAMPOS  ATAYUPANQUI MANUEL ANTONIO</t>
  </si>
  <si>
    <t xml:space="preserve">COORDINADOR </t>
  </si>
  <si>
    <t>CAMPOS GAVILAN JAVIER DAVID</t>
  </si>
  <si>
    <t>ANALISTA III - DERECHOS ELECTRICOS</t>
  </si>
  <si>
    <t>CAMPOS LEDESMA VICTOR ALFONSO</t>
  </si>
  <si>
    <t>ESPECIALISTA EN GEST. DE INFORM. PARA ELECTRICIDAD</t>
  </si>
  <si>
    <t>CAMPOS TARAZONA ALAN GUILLERMO</t>
  </si>
  <si>
    <t>ANALISTA EN UNIDADES MENORES DE HIDROCARBUROS II</t>
  </si>
  <si>
    <t>CANCHARI  MENDOZA KATTY LEYLA</t>
  </si>
  <si>
    <t>MONITOREO Y CONSERV. DE INST. ELECTRICAS</t>
  </si>
  <si>
    <t>CANCHIHUAMAN YAPIAS TIMOTEO</t>
  </si>
  <si>
    <t>TECNICO ELECTRICO</t>
  </si>
  <si>
    <t xml:space="preserve">ANALISTA III LEGAL EN NORMATIVA DE HIDROCARBUROS </t>
  </si>
  <si>
    <t>CANCINO ALVITES JOSE ORLANDO</t>
  </si>
  <si>
    <t>CANCINO BAZAN LINDSAY PATRICIA</t>
  </si>
  <si>
    <t>JEFE</t>
  </si>
  <si>
    <t>CANEVARO LARA MARIA ANGELICA</t>
  </si>
  <si>
    <t>ESPECIALISTA TECNICO EN EVAL. AMB. DE HIDROCARBURO</t>
  </si>
  <si>
    <t>CANO GAMARRA HOLINSON ANTONIO</t>
  </si>
  <si>
    <t>ANALISTA EN GESTION DOCUMENTAL</t>
  </si>
  <si>
    <t>CAQUI REYES AUGUSTO ANTONIO</t>
  </si>
  <si>
    <t>DIRECTOR DE SISTEMA ADMINISTRATIVO I</t>
  </si>
  <si>
    <t>CARBAJAL BRICENO JOSE LUIS</t>
  </si>
  <si>
    <t>LICENCIADO EN ANTROPOLOGÍA</t>
  </si>
  <si>
    <t>ESPECIALISTA III - DISTRIBUCIÓN Y COMERCIALIZACIÓN</t>
  </si>
  <si>
    <t>CARBAJAL CALDERON LUIS ANGEL</t>
  </si>
  <si>
    <t>ESPECIALISTA I LEGAL PARA ACCESO A LA INFORMACIÓN</t>
  </si>
  <si>
    <t>CARBAJAL SANCHEZ ALFONSO ROBERTO</t>
  </si>
  <si>
    <t>ASISTENTE TÉCNICO</t>
  </si>
  <si>
    <t>CARDENAS GABRIEL MAGALY ROSARIO</t>
  </si>
  <si>
    <t>ESPECIALISTA II - LEGAL ADMINISTRATIVO</t>
  </si>
  <si>
    <t>CÁRDENAS JARA EDILBERTO AXEL</t>
  </si>
  <si>
    <t>ASESOR DE LA ALTA DIRECCION DE SECRETARIA GENERAL</t>
  </si>
  <si>
    <t>CARDENAS OSCATA JESUS ANTONIO</t>
  </si>
  <si>
    <t>JEFE DE LA OFICINA GENERAL DE GESTIÓN SOCIAL</t>
  </si>
  <si>
    <t>CARDENAS PINO IRIS MARLENI</t>
  </si>
  <si>
    <t>ESPECIALISTA II - BIENESTAR SOCIAL</t>
  </si>
  <si>
    <t>CARDENAS SOMOCURCIO ELEANA NATY</t>
  </si>
  <si>
    <t>ASISTENTE SOCIAL</t>
  </si>
  <si>
    <t>CARDICH MAURICIO LESLIE ANGELA ROSARIO</t>
  </si>
  <si>
    <t>CARHUATOCTO CRUZ BETTY</t>
  </si>
  <si>
    <t>INGENIERIA FORESTAL</t>
  </si>
  <si>
    <t>ESPECIALISTA LEGAL EN EVALUACION DE EXP.</t>
  </si>
  <si>
    <t>CARHUAYO MANTILLA KARINA DEL PILAR</t>
  </si>
  <si>
    <t>EXPERTO EN PROYECTOS DE GENERACION ELECTRICA</t>
  </si>
  <si>
    <t>CARI MAMANI JOSE</t>
  </si>
  <si>
    <t>DIRECTOR GENERAL ( DIRECT  PROG. SECT.  III)</t>
  </si>
  <si>
    <t>CARLOS ESTRELLA VICTOR TEODORO</t>
  </si>
  <si>
    <t>AUXILIAR DE SERVICIOS PARA EL DESPACHO VME</t>
  </si>
  <si>
    <t>CARLOS HARO JESUS MARCELO ALFONSO</t>
  </si>
  <si>
    <t>NINGUNA</t>
  </si>
  <si>
    <t>ASISTENCIA TÉCNICA</t>
  </si>
  <si>
    <t>CARO JARA JOSE LUIS</t>
  </si>
  <si>
    <t>INGENIERIA ELECTRONICA</t>
  </si>
  <si>
    <t>ASISTENTE PROFESIONAL EN ESTADISTICA MINERA</t>
  </si>
  <si>
    <t>CARRANZA  AVELLANEDA VICTOR GIANMARCO</t>
  </si>
  <si>
    <t>DIRECTOR</t>
  </si>
  <si>
    <t>CARRANZA GIANELLO ROMAN</t>
  </si>
  <si>
    <t>ESPECIALISTA I AMBIENTAL</t>
  </si>
  <si>
    <t>CARRANZA PALOMARES MIGUEL VICENTE</t>
  </si>
  <si>
    <t>CARRANZA PINEDO ROCIO PILAR</t>
  </si>
  <si>
    <t>CARRASCO CHACON JESUS WALTER</t>
  </si>
  <si>
    <t>ANALISTA III DE COORDINACIÓN REGIONAL</t>
  </si>
  <si>
    <t>CASO TUMIALAN JOSE LUIS</t>
  </si>
  <si>
    <t>ASESOR II (CNP)</t>
  </si>
  <si>
    <t>CASTAÑEDA MENDEZ JORGE JUAN</t>
  </si>
  <si>
    <t>LICENCIADO EN RELACIONES INTERNACIONALES</t>
  </si>
  <si>
    <t>CONSULTOR</t>
  </si>
  <si>
    <t>CASTILLA ALATA JOHN PITY</t>
  </si>
  <si>
    <t>ANALISTA II - LEGAL</t>
  </si>
  <si>
    <t>CASTILLO   CORNEJO DANIEL ADAN</t>
  </si>
  <si>
    <t>DIRECTOR GENERAL ( DIRECT SIST. ADM. III)</t>
  </si>
  <si>
    <t>CASTILLO ARANSAENZ ANA MAGDELYN</t>
  </si>
  <si>
    <t>EJECUTIVO/A ADM. DE LA ALTA DIRECCION</t>
  </si>
  <si>
    <t>CASTILLO CASTILLO ARACELLI OLGA</t>
  </si>
  <si>
    <t>CASTILLO CONDORPUSA JESSICA LIZ</t>
  </si>
  <si>
    <t>CASTILLO MAR LILLIAN ESTEFANY</t>
  </si>
  <si>
    <t>ASESOR</t>
  </si>
  <si>
    <t>CASTILLO NUÑEZ MARIELA PILAR</t>
  </si>
  <si>
    <t>ESPECIALISTA III - LEGAL</t>
  </si>
  <si>
    <t>CASTILLO PEÑA ROBERTO</t>
  </si>
  <si>
    <t>CASTILLO PEÑALOZA GINA ANGELA</t>
  </si>
  <si>
    <t>CASTRO ALARCON JUNIOR ANDRE</t>
  </si>
  <si>
    <t>ASISTENTE TECNICO DE GESTION DE DIALOGO</t>
  </si>
  <si>
    <t>CASTRO ALCANTARA JAVIER GUSTAVO</t>
  </si>
  <si>
    <t>GESTION Y SUP. DEL SISTEMA DE INF. AMBIENTAL MIN.E</t>
  </si>
  <si>
    <t>CASTRO LLUNCOR ELVIS ROBERT</t>
  </si>
  <si>
    <t>ANALISTA II - PROGRAMACIÓN Y DESARROLLO DE SISTEMAS INFORMÁTICOS</t>
  </si>
  <si>
    <t>CAVA CULQUI MELVIN ROGER</t>
  </si>
  <si>
    <t>CAYETANO PUELLES PAMELA</t>
  </si>
  <si>
    <t xml:space="preserve">ANALISTA III - PROYECTOS DE GENERACIÓN DE ENERGÍA ELÉCTRICA </t>
  </si>
  <si>
    <t>CAYURI GUEVARA YENSHUKE EZEQUIEL</t>
  </si>
  <si>
    <t>AUXILIAR - ARCHIVO</t>
  </si>
  <si>
    <t>CCOYLLO HUAMANI DANNY WILDER</t>
  </si>
  <si>
    <t>ASESOR DE LA DIRECCIÓN GENERAL DE HIDROCARBUROS</t>
  </si>
  <si>
    <t>CERMEÑO RODRIGUEZ MIGUEL ANGEL</t>
  </si>
  <si>
    <t>INGENIERIA DE PETROLEO</t>
  </si>
  <si>
    <t>CHAMBERGO RODRIGUEZ OMAR FRANCO</t>
  </si>
  <si>
    <t>ASISTENCIA TECNICA EN INFORMATICA</t>
  </si>
  <si>
    <t>CHAMBI GONZALES ROSARIO ZORAIDA</t>
  </si>
  <si>
    <t>ESPECIALISTA EN RECURSOS HIDRICOS</t>
  </si>
  <si>
    <t>CHAMORRO BELLIDO CARMEN ROSA</t>
  </si>
  <si>
    <t>ESPEC. EN PROGRAM. Y DESARROLLO DE SIST. INFORMAT.</t>
  </si>
  <si>
    <t>CHAPILLIQUEN GUTIERREZ JOSE EDUARDO</t>
  </si>
  <si>
    <t>ESPECIALISTA III -  LEGAL EN ASOCIACIONES PÚBLICO PRIVADAS</t>
  </si>
  <si>
    <t xml:space="preserve">CHAPPA VICUÑA ALBERTINA DEL ROSARIO </t>
  </si>
  <si>
    <t>ESPECIALISTA TECNICO EN AUDITORIA</t>
  </si>
  <si>
    <t>CHAVARRI AGUIRRE ERNESTO ALONSO</t>
  </si>
  <si>
    <t>ESPECIALISTA III COMUNICACIÓN DESCENTRALIZADA</t>
  </si>
  <si>
    <t>CHAVEZ CASTAÑEDA JULIO FRANCISCO</t>
  </si>
  <si>
    <t>CHAVEZ CHACALTANA ORLANDO MIGUEL</t>
  </si>
  <si>
    <t>CHAVEZ FALCON WUIDO BRUCCE</t>
  </si>
  <si>
    <t>ESPECIALISTA EN GESTION DE DESARROLLO Y CAPACITACI</t>
  </si>
  <si>
    <t>CHAVEZ GUTIERREZ LUIS FELIPE</t>
  </si>
  <si>
    <t>ASESOR TECNICO DEL SECTOR ENERGIA</t>
  </si>
  <si>
    <t>CHAVEZ HUAMAN EDISON ALEX</t>
  </si>
  <si>
    <t>CHAVEZ HUAPAYA YEIDDY ERWIN</t>
  </si>
  <si>
    <t>ASISTENCIA TECNICA EN REDES Y COMUNICACIOONES</t>
  </si>
  <si>
    <t>CHAVEZ HUARINGA PEDRO LUIS</t>
  </si>
  <si>
    <t>INFORMATICA</t>
  </si>
  <si>
    <t>ESPECIALISTA AUDITOR</t>
  </si>
  <si>
    <t>CHIARA GONZALES JUAN PABLO</t>
  </si>
  <si>
    <t>DIRECTOR  ( DIRECTOR DE SIST. ADM. I )</t>
  </si>
  <si>
    <t>CHIMPÉN ASENJO MILAGROS GIOVANNA</t>
  </si>
  <si>
    <t>LICENCIADO EN PERIODISMO</t>
  </si>
  <si>
    <t>ASESOR LEGAL</t>
  </si>
  <si>
    <t>CHINCHAY RIOS RAQUEL VALERIANA</t>
  </si>
  <si>
    <t>ESPECIALISTA GEST. DE ACT. DE LA P. MINERIA Y MIN.</t>
  </si>
  <si>
    <t>CHIPANA HUANCCO FELIPE NERI</t>
  </si>
  <si>
    <t>ESPECIALISTA II - TÉCNICO AMBIENTAL</t>
  </si>
  <si>
    <t>CHOCCE PACHAS NIEVES YOLANDA</t>
  </si>
  <si>
    <t xml:space="preserve">ESPECIALISTA III - LEGAL </t>
  </si>
  <si>
    <t>CHONG ARANA JHONEL SANDINOMARX</t>
  </si>
  <si>
    <t>PROFESIONAL EN ADM. PARA EVAL DE SOLIC. DE IGV</t>
  </si>
  <si>
    <t>CHUQUISPUMA SAUÑE JUAN CARLOS</t>
  </si>
  <si>
    <t>ANALISTA III GESTION DE DIALOGO</t>
  </si>
  <si>
    <t>CLAROS QUICHIZ IVVON REECE</t>
  </si>
  <si>
    <t>COELLO GADEA GIANCARLO</t>
  </si>
  <si>
    <t>ANALISTA III INVESTIGACIÓN Y ANÁLISIS DE COMUNICACIONES</t>
  </si>
  <si>
    <t>COKCHI CHUMBILE DEMETRIO HAFID</t>
  </si>
  <si>
    <t xml:space="preserve">COORDINADOR DE CENTRO DE OPERACIONES DE EMERGENCIA DEL MINISTERIO DE ENERGÍA Y MINAS </t>
  </si>
  <si>
    <t>COLLAS MELÉNDEZ MILUSKA TATIANA</t>
  </si>
  <si>
    <t>ANALISTA III - EVALUACION DE IMPACTO AMBIENTAL</t>
  </si>
  <si>
    <t>COLQUEHUANCA QUISPE JANNET VANEZA</t>
  </si>
  <si>
    <t> INGENIERA  GEOFÍSICA</t>
  </si>
  <si>
    <t>FORMUL. Y EJEC. DE PLANES Y MOD. DE CAPAC. - ENERG</t>
  </si>
  <si>
    <t>CONDEZO ALARCON DE CONTRERAS CRISTINA MARGARITA</t>
  </si>
  <si>
    <t>EDUCACION</t>
  </si>
  <si>
    <t>ING. ESPEC. EN NORMALIZ. DEL NEGOCIO ENERGETICO CO</t>
  </si>
  <si>
    <t>CONDOR CANALES JUAN ANTONIO</t>
  </si>
  <si>
    <t>CONDOR VICUÑA FRANCO ANDRES</t>
  </si>
  <si>
    <t>ESPEC. EN ELAB. DE HERRAM. Y MEC. DEL SUBSEC. MIN.</t>
  </si>
  <si>
    <t>CONDORI CUPI CARMELO</t>
  </si>
  <si>
    <t>CONDORI PINEDA ROMAN ENRIQUE</t>
  </si>
  <si>
    <t>ANALISTA EN GESTION DE RECURSOS HUMANOS</t>
  </si>
  <si>
    <t>CONDORI QUISPE BLANCA FLOR</t>
  </si>
  <si>
    <t>ESPECIALISTA II  DE ESTUDIOS ECONÓMICOS MINEROS</t>
  </si>
  <si>
    <t>CONTRERAS  MEDRANO EVELYN EDITH</t>
  </si>
  <si>
    <t>INGENIERIA ECONOMICA</t>
  </si>
  <si>
    <t>ANALISTA III - DE INVESTIGACION Y ANALIS. DE COMUN</t>
  </si>
  <si>
    <t>CONTRERAS ANGULO BILLY</t>
  </si>
  <si>
    <t>CONTRERAS SANCHEZ EVELYN MARCELINA</t>
  </si>
  <si>
    <t>ANALISTA II  -  PROGRAMACIÓN DE INVERSIONES</t>
  </si>
  <si>
    <t>CONTRERAS VERA CARLOS ORLANDO</t>
  </si>
  <si>
    <t>ANALISTA I DE TÉCNICO DEL PROGRAMA DE INTEGRACIÓN</t>
  </si>
  <si>
    <t>CORDOVA CASTAÑEDA MARCO ANTONIO</t>
  </si>
  <si>
    <t>INGENIERIA GEOLOGICA</t>
  </si>
  <si>
    <t>ESPEC. EN PROY. DE GENERACION DE ENERGIA ELECTRICA</t>
  </si>
  <si>
    <t>CORONEL MUCHA FREDY HERNAN</t>
  </si>
  <si>
    <t>ANALISTA I - EVALUACIÓN DE PROCEDIMIENTOS ADMINISTRATIVOS</t>
  </si>
  <si>
    <t>CORRALES  MARTINEZ  CRISTIAN AMET</t>
  </si>
  <si>
    <t>CORREA DE CHAVEZ MARIA DEL CARMEN</t>
  </si>
  <si>
    <t>CORREA NOVOA ROSITA YRENE</t>
  </si>
  <si>
    <t>ESPECIALISTA III COMUNICACION INSTITUCIONAL</t>
  </si>
  <si>
    <t>CORTEZ  ZAVALETA  ELENA BEATRIZ</t>
  </si>
  <si>
    <t>PERIODISMO</t>
  </si>
  <si>
    <t>COSSIO WILLIAMS JUAN ORLANDO</t>
  </si>
  <si>
    <t>COTRINA PONCE SANDRA NATALIA</t>
  </si>
  <si>
    <t>ANALISTA III DE SEGUIMIENTO Y MONITOREO DE COMPROMISOS SOCIALES</t>
  </si>
  <si>
    <t>CRUZATT CARDENAS CARLOS ANGEL</t>
  </si>
  <si>
    <t>ASES. EN LA IMPLEMENTACION DEL CONT. INTER.Y COORD</t>
  </si>
  <si>
    <t>CUBA MOSCOSO LUIS ALVARO</t>
  </si>
  <si>
    <t>ADMINISTRACION DE EMPRESAS</t>
  </si>
  <si>
    <t>ANALISTA III - ASUNTOS AMBIENTALES</t>
  </si>
  <si>
    <t>CUBAS PARIMANGO LORENZO JARED</t>
  </si>
  <si>
    <t>OPERADOR DE SIST. DE SEGURIDAD AUTOMATIZADO</t>
  </si>
  <si>
    <t>CUBAS VALDIVIA JOSE CARLOS</t>
  </si>
  <si>
    <t>ESPECIALISTA II - LEGAL</t>
  </si>
  <si>
    <t>CUELLAR JOAQUIN MILAGROS IRENE</t>
  </si>
  <si>
    <t>CUEVA OBANDO LUISA HERMINIA</t>
  </si>
  <si>
    <t>CUEVA USQUIANO MIGUEL ALFREDO</t>
  </si>
  <si>
    <t>ESPECIALISTA LEGAL EN MATERIA DE RECURSOS HUMANOS</t>
  </si>
  <si>
    <t>CUYA CONTRERAS JOSE</t>
  </si>
  <si>
    <t>ESPECIALISTA DE CONTROL DE GESTION ACADEMICA</t>
  </si>
  <si>
    <t>CUYA VILLARROEL ALFONSO PERCY</t>
  </si>
  <si>
    <t>DE LA CRUZ SUAZO ELVIS  SANTIAGO</t>
  </si>
  <si>
    <t>ESPECIALISTA II - LEGAL MINERO</t>
  </si>
  <si>
    <t>DE OLAZAVAL CARTY SILVANA</t>
  </si>
  <si>
    <t>AUXILIAR COACTIVO</t>
  </si>
  <si>
    <t>DEL CASTILLO NATERS MOISES ANTONIO</t>
  </si>
  <si>
    <t>ESPECIALISTA II - LEGAL ENERGETICO</t>
  </si>
  <si>
    <t>DEL SOLAR URTECHO MARIA ESTEFANIA OLGA</t>
  </si>
  <si>
    <t>ESPECIALISTA III - PETRÓLEO</t>
  </si>
  <si>
    <t>DELGADO CEBINCHA JUAN JOSE</t>
  </si>
  <si>
    <t>ESPECIALISTA II DE PLAN. EN GESTIÓN DE RIESGOS DE</t>
  </si>
  <si>
    <t>DELGADO RODRIGUEZ JAVIER JESUS</t>
  </si>
  <si>
    <t>CIENCIAS MILITARES</t>
  </si>
  <si>
    <t>DELGADO VEGA CLAUDIA NOELIA</t>
  </si>
  <si>
    <t>ASISTENTE EN ATENCION AL PUBLICO</t>
  </si>
  <si>
    <t>DIAZ CHAVEZ LAZARO</t>
  </si>
  <si>
    <t>PRIMARIA</t>
  </si>
  <si>
    <t>COORDINADOR DE ADM. DE DOCUMENTOS Y ARCHIVO</t>
  </si>
  <si>
    <t>DIAZ CORDOVA DEYSE CONSUELO</t>
  </si>
  <si>
    <t>DIAZ DIAZ LILIANA ESPERANZA</t>
  </si>
  <si>
    <t xml:space="preserve">ESPECIALISTA I  TRANSPORTE DE HIDROCARBUROS Y SEGURIDAD EN LAS ACTIVIDADES DE HIDROCARBUROS. </t>
  </si>
  <si>
    <t>DIAZ MARTINEZ PIERO</t>
  </si>
  <si>
    <t>DIAZ RUJEL JANIE PAOLA</t>
  </si>
  <si>
    <t>JEFE DE LA OFICINA GENERAL DE ADMINISTRACIÓN</t>
  </si>
  <si>
    <t>DIAZ SIPIRAN JULIO CESAR</t>
  </si>
  <si>
    <t>INGNIERIA INDUSTRIAL</t>
  </si>
  <si>
    <t xml:space="preserve">ANALISTA III - GESTIÓN ADMINISTRATIVA </t>
  </si>
  <si>
    <t>DIAZ TORRE HUMBERTO RAFAEL</t>
  </si>
  <si>
    <t>OPERADOR CENTRAL TELEFONICA</t>
  </si>
  <si>
    <t>DIAZ VASQUEZ  MARGARITA</t>
  </si>
  <si>
    <t>MECANOGRAFIA</t>
  </si>
  <si>
    <t>DIAZ VEGA CINDY JESSY</t>
  </si>
  <si>
    <t>ANALISTA III DE PROMOCIÓN DE LA FORMALIZACIÓN MINERA</t>
  </si>
  <si>
    <t>DONGO ALCAZAR BRUMEL ALBERTO</t>
  </si>
  <si>
    <t>ESPECIALISTA EN PRESUPUESTO PUBLICO</t>
  </si>
  <si>
    <t>DUQUE GONZALES JOSE LUIS</t>
  </si>
  <si>
    <t>DURAN CHAVEZ ELMER</t>
  </si>
  <si>
    <t>DURAND MONZON EVELING NORMA</t>
  </si>
  <si>
    <t>ECHAIZ CABAÑAS OSCAR ALBERTO</t>
  </si>
  <si>
    <t>ENCINA SANDOVAL JORGE LUIS</t>
  </si>
  <si>
    <t>CONTADOR PÚBLICO</t>
  </si>
  <si>
    <t>ESPECIALISTA III - EN TECNOLOGIAS DE LA INFORMACIÓN</t>
  </si>
  <si>
    <t>ERREA CARO RICARDO JOSE</t>
  </si>
  <si>
    <t>ESCATE AMPUERO CINTHYA LETICIA</t>
  </si>
  <si>
    <t>ANALISTA III DE FONDOS SOCIALES</t>
  </si>
  <si>
    <t>ESCOBAL MC EVOY CARLOS ALBERTO</t>
  </si>
  <si>
    <t>ARQUEOLOGIA</t>
  </si>
  <si>
    <t>ANALISTA TECNICO ADMINISTRATIVO</t>
  </si>
  <si>
    <t>ESPINOZA ARIAS HELGA REBECA</t>
  </si>
  <si>
    <t xml:space="preserve">ANALISTA I -  INFORMACIÓN GEOGRÁFICA </t>
  </si>
  <si>
    <t>ESPINOZA ESPIZA JENNIFER</t>
  </si>
  <si>
    <t>INGENIERA GEOGRÁFICA</t>
  </si>
  <si>
    <t>ASESOR DE LA ALTA DIRECCION DE VICEMIN. DE MINAS</t>
  </si>
  <si>
    <t>ESPINOZA PEÑA MARIA FRANCINA</t>
  </si>
  <si>
    <t>ESPINOZA RAMOS MISHEL EFRAIN</t>
  </si>
  <si>
    <t>ESPINOZA ROSAS VICTORIA  ALEJANDRINA</t>
  </si>
  <si>
    <t>ANALISTA I DE GESTIÓN DEL DIÁLOGO</t>
  </si>
  <si>
    <t>ESPINOZA SALVATIERRA MIGUEL SEGISFREDO</t>
  </si>
  <si>
    <t>ASISTENCIA TECNICA EQUIPOS TECNOLOGICOS</t>
  </si>
  <si>
    <t>ESPINOZA ZACARIAS ANGEL POOL</t>
  </si>
  <si>
    <t>ESPINOZA ZEGARRA CLAUDIA MILAGROS</t>
  </si>
  <si>
    <t>INGENIERIA EN ENERGIA</t>
  </si>
  <si>
    <t>ESPECIALISTA I - INTEGRACION Y CIERRE CONTABLE</t>
  </si>
  <si>
    <t>ESPIRITU GONZALES YINELA CARMEN</t>
  </si>
  <si>
    <t>ASESOR TECNICO</t>
  </si>
  <si>
    <t>ESTELA SILVA SANTIAGO MELANIO</t>
  </si>
  <si>
    <t>FARFAN CONTRERAS JOEL</t>
  </si>
  <si>
    <t>FISICA</t>
  </si>
  <si>
    <t>DIRECTOR DE PROGRAMA SECTORIAL III</t>
  </si>
  <si>
    <t>FARFAN ESTRADA JOSE</t>
  </si>
  <si>
    <t>ANALISTA DE INSTRUM. DE GEST. AMBIENTAL</t>
  </si>
  <si>
    <t>FARFAN REYES MIRIAM ELIZABETH</t>
  </si>
  <si>
    <t xml:space="preserve">ESPECIALISTA I DE CONTRATACIONES </t>
  </si>
  <si>
    <t>FARFAN SANDOVAL EDER DANIEL</t>
  </si>
  <si>
    <t>ESPECIALISTA EN COBERTURA GRAFICA</t>
  </si>
  <si>
    <t>FARJE GOMERO OSCAR KELVIN</t>
  </si>
  <si>
    <t>ASISTENTE DE SEGURIDAD</t>
  </si>
  <si>
    <t>FELIPA CORDOVA CARLOS ENRIQUE</t>
  </si>
  <si>
    <t>ESPECIALISTA AUDITOR II</t>
  </si>
  <si>
    <t xml:space="preserve">FERNANDEZ DEFILIPPI RAFAEL VICENTE </t>
  </si>
  <si>
    <t>ESPECIALISTA II EN CONTABILIDAD</t>
  </si>
  <si>
    <t>FERNANDEZ RODRIGUEZ JUAN CARLOS</t>
  </si>
  <si>
    <t>ANALISTA III - LEGAL</t>
  </si>
  <si>
    <t>FIGUEROA VEREAU NELSON BARTOLOME</t>
  </si>
  <si>
    <t>FLORES GARAYCOCHEA MARLENE SOLEDAD</t>
  </si>
  <si>
    <t>FLORES GOMEZ KARINA NILDA</t>
  </si>
  <si>
    <t>FLORES JERI ALFREDO IVAN</t>
  </si>
  <si>
    <t>ANALISTA EN COBERTURA DE PRENSA</t>
  </si>
  <si>
    <t>FLORES SENADOR JOSE MANUEL</t>
  </si>
  <si>
    <t>ESPECIALISTA I - TECNICO MINERO</t>
  </si>
  <si>
    <t>FLORES TORRES HAROLD GERMAIN</t>
  </si>
  <si>
    <t>ANALISTA III - LEGAL EN MATERIA MINERO AMBIENTAL</t>
  </si>
  <si>
    <t>FRANCO  SOLANO MARGARETH MERCEDES</t>
  </si>
  <si>
    <t>FRIAS MARCA OSCAR JOSE</t>
  </si>
  <si>
    <t>GALLARDO ARRASCUE ROSSANA LETICIA</t>
  </si>
  <si>
    <t>DIRECTOR DE PROGRAMA SECTORIAL I</t>
  </si>
  <si>
    <t>GALLEGOS QUESQUEN PATRICIA MERCEDES</t>
  </si>
  <si>
    <t>ANALISTA III -  PROGRAMACIÓN DE INVERSIONES</t>
  </si>
  <si>
    <t>GALLEGOS VILCANQUI JOSE CARLOS</t>
  </si>
  <si>
    <t>GALVEZ DELGADO JAIME</t>
  </si>
  <si>
    <t>CIENCIAS SOCIALES</t>
  </si>
  <si>
    <t>ASISTENTE DE GESTION FINANCIERA Y CONTABLE</t>
  </si>
  <si>
    <t>GAMARRA CHUMBES EDER GREGORI</t>
  </si>
  <si>
    <t>CIENCIAS FINANCIERAS Y CONTABLES</t>
  </si>
  <si>
    <t xml:space="preserve">ANALISTA I DE GESTIÓN ACADÉMICA DEL PROGRAMA DE INTEGRACIÓN MINERA </t>
  </si>
  <si>
    <t>GAMARRA RAMIREZ HELEN CAROL</t>
  </si>
  <si>
    <t>ESPEC. EN FORMUL. EVAL. E IMPLANTACION DE CONT. IN</t>
  </si>
  <si>
    <t>GAMIO CHUMPITAZ RANUFFO FELIPE</t>
  </si>
  <si>
    <t>ESPECIALISTA III DE GESTIÓN ADMINISTRATIVA</t>
  </si>
  <si>
    <t>GARAY LAZO RUBEN NICOLAS</t>
  </si>
  <si>
    <t>ESPECIALISTA I - PROYECTOS</t>
  </si>
  <si>
    <t>GARCIA  DURAND MOISES</t>
  </si>
  <si>
    <t>INGENIERIA PESQUERA</t>
  </si>
  <si>
    <t>COORD. DEL PROCESO DE FORMALIZ. DE PEQUEÑA MIN. AR</t>
  </si>
  <si>
    <t>GARCIA  HUAMANI MARIO</t>
  </si>
  <si>
    <t>ASESOR DEL GABINETE DE ASESORES</t>
  </si>
  <si>
    <t>GARCIA  VIZCARRA DIEGO FERNANDO</t>
  </si>
  <si>
    <t>ANALISTA III DE GESTIÓN ADMINISTRATIVA</t>
  </si>
  <si>
    <t>GARCIA CCAIPANI JOHN EDWAR</t>
  </si>
  <si>
    <t>GARCIA GARCIA EDGAR ALFREDO</t>
  </si>
  <si>
    <t>INGENIERIA CIVIL</t>
  </si>
  <si>
    <t>COORDINADOR PRENSA Y COMUNICACIONES</t>
  </si>
  <si>
    <t>GARCÍA HERNÁNDEZ ERIKA CAROL</t>
  </si>
  <si>
    <t>ESPECIALISTA II - ASUNTOS AMBIENTALES</t>
  </si>
  <si>
    <t>GARCIA LAY NISSE MEI-LIN</t>
  </si>
  <si>
    <t>PROCURADOR PUBLICO (CNP)</t>
  </si>
  <si>
    <t>GARCIA LEON EVA GISELLE</t>
  </si>
  <si>
    <t>GARCIA NAVARRO LIONEL</t>
  </si>
  <si>
    <t>ANALISTA III - TÉCNICO AMBIENTAL</t>
  </si>
  <si>
    <t xml:space="preserve">GARCIA PEDROSO SANDRA MARIA </t>
  </si>
  <si>
    <t>DIRECTOR GENERAL</t>
  </si>
  <si>
    <t>GARCIA PORTUGAL ERICK GIDELBERTH</t>
  </si>
  <si>
    <t>GESTION DE LA ENERGIA</t>
  </si>
  <si>
    <t>MAGISTER</t>
  </si>
  <si>
    <t>COORDINADOR - LEGAL ENERGETICO</t>
  </si>
  <si>
    <t>GARCIA RAMOS PAOLA PATRICIA</t>
  </si>
  <si>
    <t>GARCIA REYNA LETY MARLENE</t>
  </si>
  <si>
    <t>EJECUTIVO/A DE ASISTENCIA ADMINISTRATIVA</t>
  </si>
  <si>
    <t>GARCIA VILCHEZ JOHANNA ARACELLI</t>
  </si>
  <si>
    <t>COORDINADOR LEGAL DE EVAL. AMBIENTAL DE HIDROCARB.</t>
  </si>
  <si>
    <t>GAVIDIA MELENDEZ CINTHYA GREYSSE</t>
  </si>
  <si>
    <t>ESPECIALISTA TECNICO EN PASIVOS AMB. MINEROS</t>
  </si>
  <si>
    <t>GÓMEZ  GONZALES NORKA ROXANA</t>
  </si>
  <si>
    <t>GOMEZ VALDIVIA SUCETH ROSARIO</t>
  </si>
  <si>
    <t>ESPECIALISTA III - TÉCNICO MINERO GEOTECNISTA</t>
  </si>
  <si>
    <t xml:space="preserve">GONZALES ANTUNEZ MELQUIADES EUGENIO </t>
  </si>
  <si>
    <t>ANALISTA PETROLERO EN UNID. MAYORES DE HIDROCARB.</t>
  </si>
  <si>
    <t>GONZALES GIRALDO TANIA JESSICA</t>
  </si>
  <si>
    <t>INGENIERIA DE PETROLEO Y GAS NATURAL</t>
  </si>
  <si>
    <t>DIRECTOR(A)</t>
  </si>
  <si>
    <t>GONZALES MEDINA JAVIER EDGARDO</t>
  </si>
  <si>
    <t>INGENIERIA MECANICA</t>
  </si>
  <si>
    <t>GONZALES RIVAS MIGUEL ANGEL</t>
  </si>
  <si>
    <t>ASISTENCIA EN PRIMEROS AUXILIOS</t>
  </si>
  <si>
    <t>GONZALES RODRIGUEZ ROSA ANGELICA</t>
  </si>
  <si>
    <t>ENFERMERIA</t>
  </si>
  <si>
    <t>ESPECIALISTA I - ADM. DE SERVIDORES</t>
  </si>
  <si>
    <t>GONZALEZ NEYRA RAUL EDUARDO</t>
  </si>
  <si>
    <t>OPERADOR ADMINISTRATIVO CONTABLE</t>
  </si>
  <si>
    <t>GRADOS NAVARRO ANGEL DIMAS</t>
  </si>
  <si>
    <t>INGENIERIA ADMINISTRATIVA</t>
  </si>
  <si>
    <t xml:space="preserve">ESPECIALISTA I - LEGAL EN TEMAS ARBITRALES Y JUDICIALES </t>
  </si>
  <si>
    <t>GRATELLI CABRERA BROOKE MIRELLA</t>
  </si>
  <si>
    <t>GUILLEN ESPINOZA CARLOS ALBERTO</t>
  </si>
  <si>
    <t>GUTIERREZ CHARA MAGDA ROXANA</t>
  </si>
  <si>
    <t>ESPECIALISTA II - CONTROL GUBERNAMENTAL</t>
  </si>
  <si>
    <t>GUTIERREZ CUBA ANA MARIA</t>
  </si>
  <si>
    <t xml:space="preserve">ESPECIALISTA II DE PROGRAMACIÓN </t>
  </si>
  <si>
    <t>GUTIERREZ MAURICIO RAUL ENRRIQUE</t>
  </si>
  <si>
    <t>GUTIERREZ MEJIA  MARY DEL SOCORRO</t>
  </si>
  <si>
    <t>GUTIERREZ PULLCHEZ DANIXA KATHERINE</t>
  </si>
  <si>
    <t>GUTIERREZ YUPANQUI ILIAN SUSAN</t>
  </si>
  <si>
    <t xml:space="preserve">ANALISTA II DE SEGUIMIENTO DE COMPROMISOS SOCIALES </t>
  </si>
  <si>
    <t>GUZMAN CAMARENA ALBERTO EDUARDO</t>
  </si>
  <si>
    <t>ESPECIALISTA II - EN SEG. DE LA INFORMACION</t>
  </si>
  <si>
    <t>HEIGHES SIFUENTES ALFONSO FEDERICO</t>
  </si>
  <si>
    <t>ESPECIALISTA EN PLANEA. ENERGETICO-ENERG. RENOVAB.</t>
  </si>
  <si>
    <t>HEREDIA MUÑOZ MANUEL ANTONIO</t>
  </si>
  <si>
    <t>HERNANDEZ  COLINA JEFFERSON JOSELITO</t>
  </si>
  <si>
    <t>HERRERA BAZAN DANIEL GREGORIO</t>
  </si>
  <si>
    <t>HERRERA HERRERA NORMA ALEJANDRINA</t>
  </si>
  <si>
    <t>ANALISTA I - DERECHO ADMINISTRATIVO</t>
  </si>
  <si>
    <t>HIDALGO BELSUZARRI RAÚL CÉSAR</t>
  </si>
  <si>
    <t>HOLGUIN LOZADA RICHARD LENIN</t>
  </si>
  <si>
    <t>HOLGUIN ROJAS MANUEL ANTONIO</t>
  </si>
  <si>
    <t>HOPKINS ALFARO JOSE DIEGO</t>
  </si>
  <si>
    <t>HOYOS HUANCA DIEGO GUILLERMO</t>
  </si>
  <si>
    <t>HUALLPA SALAZAR FABIOLA DZHAMILIA</t>
  </si>
  <si>
    <t>COORD. DE INST. PREVENTIVOS DE EXPLOR. EXPLOT, TRA</t>
  </si>
  <si>
    <t>HUAMAN CABALLERO ROSMERY MARGARET</t>
  </si>
  <si>
    <t>COORDINADOR DE NORMATIVA AMB. DE HIDROCARBUROS</t>
  </si>
  <si>
    <t>HUAMAN PEREZ ROCIO DEL PILAR</t>
  </si>
  <si>
    <t>HUARIPATA TORRES ALEXIS ANEL</t>
  </si>
  <si>
    <t>ARTESANO  PARA EL MANT. DE LAS INSTA. DEL MEM</t>
  </si>
  <si>
    <t>HUAROTO GIL MARCO ANTONIO</t>
  </si>
  <si>
    <t>REDACTOR PRINCIPAL</t>
  </si>
  <si>
    <t>HUAYLINOS SANCHEZ PASCUAL  DAVY</t>
  </si>
  <si>
    <t xml:space="preserve">ESPECIALISTA EN COBRANZA COACTIVA </t>
  </si>
  <si>
    <t>HUAYLLA BUSTAMANTE LAURA ROXANA</t>
  </si>
  <si>
    <t>ESPECIALISTA III - AMBIENTAL</t>
  </si>
  <si>
    <t>HUERTA MENDOZA RONALD EDGARDO</t>
  </si>
  <si>
    <t>INGENIERIA SANITARIA</t>
  </si>
  <si>
    <t>ANALISTA AMBIENTAL PARA SUB SECT. ELECTRICO I</t>
  </si>
  <si>
    <t>HURTADO DE MENDOZA CRUZ WILFRIDO ALONSO RENATO</t>
  </si>
  <si>
    <t>COORDINADOR DE COMERCIALIZ, ALMACEN. Y DIST. HIDRO</t>
  </si>
  <si>
    <t>IBAÑEZ MONTERO CARLOS WILFREDO</t>
  </si>
  <si>
    <t>ESPECIALISTA EN PLAN. ENERG. AMBIENTAL</t>
  </si>
  <si>
    <t>IBARRA VASQUEZ GIANNINA MILAGROS</t>
  </si>
  <si>
    <t>ANALISTA II EN CONTROL PATRIMONIAL</t>
  </si>
  <si>
    <t>INFANTES RIQUE JUVENAL LENIN</t>
  </si>
  <si>
    <t>INGUNZA PANDO LUIS ALBERTO</t>
  </si>
  <si>
    <t>ANALISTA III - ECONOMIA</t>
  </si>
  <si>
    <t>ISIDRO ESPINOZA YESSICA BRUNELA</t>
  </si>
  <si>
    <t xml:space="preserve">ASESOR(A) </t>
  </si>
  <si>
    <t>ISIQUE PÉREZ MÓNICA JEANETTE</t>
  </si>
  <si>
    <t>ANALISTA EN TEMAS ECONÓMICOS Y PLAN. ENERG</t>
  </si>
  <si>
    <t>ISLA CASTAÑEDA LUIS ENRIQUE</t>
  </si>
  <si>
    <t>IZARRA OJEDA MIKE JON</t>
  </si>
  <si>
    <t>ANALISTA III - EXPLORACIÓN Y EXPLOTACION DE HIDROCARBUROS</t>
  </si>
  <si>
    <t>JACOME VERGARAY MARCO ANTONIO</t>
  </si>
  <si>
    <t>JAIMES VALLEJOS DIEGO MARTIN</t>
  </si>
  <si>
    <t>COORDINADOR LEGAL MINERO ENERGÉTICO</t>
  </si>
  <si>
    <t>JANAMPA  CORDOVA JEAN DANNY</t>
  </si>
  <si>
    <t>ESPECIALISTA EN GEST. DE RIESGO DE DESASTRES</t>
  </si>
  <si>
    <t>JARA CARPIO DIEGO EDMUND</t>
  </si>
  <si>
    <t>ANALISTA II DISEÑO GRÁFICO</t>
  </si>
  <si>
    <t>JARA MORA MELISSA</t>
  </si>
  <si>
    <t>ESPECIALISTA I - IDENTIFICACIÓN DE PASIVOS AMBIENTALES MINEROS</t>
  </si>
  <si>
    <t>JARAMILLO MOSCOSO SILVIA ALCIRA</t>
  </si>
  <si>
    <t>ESPECIALISTA EN PLANEAMIENTO ESTRATEGIGO</t>
  </si>
  <si>
    <t xml:space="preserve">JAUREGUI  ZUÑIGA BENITA ISABEL </t>
  </si>
  <si>
    <t>JAUREGUI MORAN GABRIELA SIBIA</t>
  </si>
  <si>
    <t>EXPERTO/A LEGAL EN MATERIA AMBIENTAL</t>
  </si>
  <si>
    <t>JESUS DE LAMA MANUEL ANDRES</t>
  </si>
  <si>
    <t>JEFE DE LA OFICINA GENERAL DE PLANEAMIENTO Y PRESU</t>
  </si>
  <si>
    <t>JHONG GUERRERO MARIA ISABEL</t>
  </si>
  <si>
    <t>JIMENEZ ALARCON ROSMERY GERALDINE</t>
  </si>
  <si>
    <t>ANALISTA EN SEG. Y MONIT. DE COMNPROMISOS SOCIALES</t>
  </si>
  <si>
    <t xml:space="preserve">JIMENEZ LEON FERNANDO ALONSO </t>
  </si>
  <si>
    <t>CIENCIAS POLITICAS</t>
  </si>
  <si>
    <t>COORDINADOR DE ABASTECIMIENTO Y SERVICIOS</t>
  </si>
  <si>
    <t>JO PASTOR CHRISTIAN DAN</t>
  </si>
  <si>
    <t>KUZMA ALFARO MIGUEL ELISEO</t>
  </si>
  <si>
    <t>LA ROSA ORBEZO NOHELIA THAIS</t>
  </si>
  <si>
    <t>DERCEHO</t>
  </si>
  <si>
    <t>COORD. DE TECNOLOGIAS ARCHIVISTICAS Y DOC. ELECT</t>
  </si>
  <si>
    <t>LACHIRA ESPINOZA EMILIO</t>
  </si>
  <si>
    <t>INGENIERIA INFORMATICA</t>
  </si>
  <si>
    <t>LACTAYO MONAGO MAXIMO</t>
  </si>
  <si>
    <t xml:space="preserve">LAOS  RODRIGUEZ EDGARD RICHARD </t>
  </si>
  <si>
    <t>ANALISTA PROGRAM. PARA EL SIST. DE INF. ADMINIST.</t>
  </si>
  <si>
    <t>LAU LUY JORGE JULIAN</t>
  </si>
  <si>
    <t>LAVADO CHAVEZ GIOVANNA EPIFANIA</t>
  </si>
  <si>
    <t>ANALISTA I - LEGAL</t>
  </si>
  <si>
    <t>LAVADO LISHNER KAREN MELISSA</t>
  </si>
  <si>
    <t>LAVALLE QUIROZ MARIA DOLORES</t>
  </si>
  <si>
    <t>ESPECIALISTA EN TEMAS ECON. SOCIOAMBIENTALES</t>
  </si>
  <si>
    <t>LAZO DIAZ MANUEL BRUNO</t>
  </si>
  <si>
    <t>ANALISTA DE RECURSOS HUMANOS</t>
  </si>
  <si>
    <t>LEANDRO ALIAGA LESLIE MELINA</t>
  </si>
  <si>
    <t>HOTELERIA Y ADMINISTRACIÓN</t>
  </si>
  <si>
    <t>ASISTENCIA TEC. ADM. EN LA ATENC. EXP. CONGRESO</t>
  </si>
  <si>
    <t>LEDESMA ROMAN BERTHA</t>
  </si>
  <si>
    <t>EVALUACION DE INSTRUM. DE GESTION AMBIENTAL</t>
  </si>
  <si>
    <t>LEDESMA VALVERDE ROBERTO ANTONY</t>
  </si>
  <si>
    <t>ANALISTA II DE GESTIÓN DEL DIÁLOGO</t>
  </si>
  <si>
    <t>LEON  HUERTA  NILTON CESAR</t>
  </si>
  <si>
    <t>EJECUTOR COACTIVO</t>
  </si>
  <si>
    <t>LEON CANDELA EDGARDO JAVIER</t>
  </si>
  <si>
    <t>LEON NIETO PEDRO HUMBERTO</t>
  </si>
  <si>
    <t>LEÓN SAAVEDRA SEBASTIÁN</t>
  </si>
  <si>
    <t>ESPECIALISTA EN GESTION DEL RENDIMIENTO</t>
  </si>
  <si>
    <t>LEON ZELADA RICHARD ANTHONY</t>
  </si>
  <si>
    <t>ESPECIALISTA EN MANEJO DE CONFLIC. SOC. AMB. CHIC</t>
  </si>
  <si>
    <t>LIÑAN CASTAÑEDA EDUARDO AMERICO</t>
  </si>
  <si>
    <t>LICENCIADO EN EDUCACION SECUNDARIA</t>
  </si>
  <si>
    <t>ESPECIALISTA EN SEGURIDAD</t>
  </si>
  <si>
    <t>LIRA VILLAVICENCIO  MANUEL</t>
  </si>
  <si>
    <t>LIVIA ENCISO PATRICIA</t>
  </si>
  <si>
    <t>ANALISTA I - REDACTOR</t>
  </si>
  <si>
    <t>LLAMO  AQUEZOLO  PIERO</t>
  </si>
  <si>
    <t>COMUNICACION SOCIAL</t>
  </si>
  <si>
    <t>ING. ESPECIALISTA EN SIST. ELECTRICOS RURALES</t>
  </si>
  <si>
    <t>LLAMOJA CURI HUGO DAVID</t>
  </si>
  <si>
    <t>ESPECIALISTA II EN TESORERÍA</t>
  </si>
  <si>
    <t>LOAYZA CUSI CARLOS ALBERTO</t>
  </si>
  <si>
    <t xml:space="preserve">LOBATON PAZ YNA JESICA </t>
  </si>
  <si>
    <t>LOPEZ AQUINO JIMMY JHONATHAN</t>
  </si>
  <si>
    <t>ASESOR TECNICO PARA ELAB. DE NORMAS Y PROC. TEC.</t>
  </si>
  <si>
    <t>LOPEZ CEVALLOS MARIO ALBERTO</t>
  </si>
  <si>
    <t>ESPECIALISTA I - DERECHO PENAL</t>
  </si>
  <si>
    <t>LOPEZ CHAVEZ JORGE LUIS</t>
  </si>
  <si>
    <t>LOPEZ FIERRO JORGE EDUARDO</t>
  </si>
  <si>
    <t>LOPEZ FLORES ROSSANA ELIZABETH</t>
  </si>
  <si>
    <t>LOPEZ SUPO CAROLINA ERENIA</t>
  </si>
  <si>
    <t>ANALISTA III DE PREVENCIÓN DE CONFLICTOS</t>
  </si>
  <si>
    <t>LOZANO DIAZ JUNIORS BELISARIO</t>
  </si>
  <si>
    <t>LOZANO LADRON DE GUEVARA ORLANDO MARCIAL</t>
  </si>
  <si>
    <t>ANALISTA III DE TEMAS SOCIALES</t>
  </si>
  <si>
    <t>LOZANO RAMIREZ JUAN JOEL</t>
  </si>
  <si>
    <t xml:space="preserve">INGENIERO ESPECIALISTA </t>
  </si>
  <si>
    <t>LUCANA JARAMILLO JAVIER</t>
  </si>
  <si>
    <t>ANALISTA I -  ENERGÍA RENOVABLES</t>
  </si>
  <si>
    <t>LUCIANO DE LA CRUZ LUCERO CYNTHIA</t>
  </si>
  <si>
    <t>ANALISTA I DE MANEJO DE CONFLICTOS SOCIALES</t>
  </si>
  <si>
    <t>MACEDO CORAZAO FABRICIO JULIO</t>
  </si>
  <si>
    <t>ANALISTA II DESARROLLADOR DE SISTEMAS INFORMÁTICOS</t>
  </si>
  <si>
    <t>MALDONADO CARDENAS ARTURO</t>
  </si>
  <si>
    <t>MALDONADO VILLANUEVA WILBER</t>
  </si>
  <si>
    <t>CIENCIAS AGRÍCOLAS</t>
  </si>
  <si>
    <t>MAMANI GRADOS EDGARDO</t>
  </si>
  <si>
    <t>CIENCIAS</t>
  </si>
  <si>
    <t>ESPECIALISTA III DE DEFENSA NACIONAL Y RIESGO DES.</t>
  </si>
  <si>
    <t>MANCO PISCONTI AUGUSTO MAXIMO</t>
  </si>
  <si>
    <t>SECRETARIA ADMINISTRATIVA</t>
  </si>
  <si>
    <t>MANGIER ARRESE MILAGROS DORA</t>
  </si>
  <si>
    <t>MANNUCCI  SUAREZ  BRENDA CARLA</t>
  </si>
  <si>
    <t>SERVICIOS EN LA EJEC. DE LABORES DE CONTROL PLANIF</t>
  </si>
  <si>
    <t xml:space="preserve">MANNUCCI PEREA ROSA KYDOMAR </t>
  </si>
  <si>
    <t>ESPECIALISTA I - EN TEMAS ARBITRALES Y JUDICIALES</t>
  </si>
  <si>
    <t>MANSILLA ROJAS ELVIS JHORDAN</t>
  </si>
  <si>
    <t>ANALISTA I DE GESTIÓN ADMINISTRATIVA</t>
  </si>
  <si>
    <t>MANSILLA SANCHEZ ELIANA VERONICA</t>
  </si>
  <si>
    <t>MARIÑO CABELLO EUGENIA DE JESUS</t>
  </si>
  <si>
    <t>ANALISTA II ASUNTOS AMBIENTALES</t>
  </si>
  <si>
    <t>MARTEL GORA MIGUEL LUIS</t>
  </si>
  <si>
    <t>COORDINADOR DE PROGRAMACIÓN E INVERSIONES</t>
  </si>
  <si>
    <t>MARTINEZ ALVARADO HERACLITO</t>
  </si>
  <si>
    <t>ANALISTA I DE MINERÍA ILEGAL</t>
  </si>
  <si>
    <t>MARTINEZ GOMERO MARTHA DEYANIRA</t>
  </si>
  <si>
    <t>ANALISTA LEGAL</t>
  </si>
  <si>
    <t>MARTINEZ PIZARRO CLAUDIA</t>
  </si>
  <si>
    <t>MATEO REYES VICTOR ELIAS</t>
  </si>
  <si>
    <t>ESPECIALISTA ADMINISTRATIVO</t>
  </si>
  <si>
    <t>MATOS MATOS ANGEL OSCAR</t>
  </si>
  <si>
    <t>ESPEC. EN PLAN DE CIERRE DE MINAS Y PASIVOS AMB.</t>
  </si>
  <si>
    <t>MATOS MEZA KATHERINE</t>
  </si>
  <si>
    <t>MAURICIO MUÑOZ PEDRO</t>
  </si>
  <si>
    <t>MEDINA ANICAMA MATILDE</t>
  </si>
  <si>
    <t xml:space="preserve">MEDINA QUIÑE HEDY JANIREFF </t>
  </si>
  <si>
    <t>MEJIA ISIDRO JHONNY ANIVAL</t>
  </si>
  <si>
    <t>ASISTENTE - EVALUACIÓN DE INSTRUMENTOS DE GESTIÓN AMBIENTAL</t>
  </si>
  <si>
    <t>MEJIA SALAS DAVID ISIDRO</t>
  </si>
  <si>
    <t>ESPECIALISTA EN RESOL. DE CONFLICTOS SOCIALES</t>
  </si>
  <si>
    <t>MENDEZ ALAZAVALA LORENZO FELIPE</t>
  </si>
  <si>
    <t>ESPECIALISTA EN GESTION DE RIEZGOS DE DESASTRES</t>
  </si>
  <si>
    <t>MENDIZABAL QUIÑONES MARIO JOSE</t>
  </si>
  <si>
    <t>MENDOZA CALVO ZOILA</t>
  </si>
  <si>
    <t>MENDOZA MALDONADO FERNANDO SAMUEL</t>
  </si>
  <si>
    <t>ESPEC. LEGAL SENIOR DE PROC. ADM. DE DER. ELECTRIC</t>
  </si>
  <si>
    <t>MENDOZA MARCHAND MELISSA JANETH</t>
  </si>
  <si>
    <t>COORDINACION DE PRENSA</t>
  </si>
  <si>
    <t>MENDOZA MARTINEZ  SILVIA ALINA</t>
  </si>
  <si>
    <t>ATENCION PROTOCOLAR Y PUB. USUARIO</t>
  </si>
  <si>
    <t>MENESES BARTOLINI CARLOS HUMBERTO</t>
  </si>
  <si>
    <t>ANALISTA TECNICA DEL PROCESO DE EXPEDICION</t>
  </si>
  <si>
    <t>MENESES SERPA MARIA IRENE</t>
  </si>
  <si>
    <t>MICHILOT RAMOS DE LAVARELLO ROSE-MARIE PATRICIA</t>
  </si>
  <si>
    <t>MILLONES VARGAS CESAR AUGUSTO</t>
  </si>
  <si>
    <t>MINAYA PANTOJA GABRIELA KRYSTEL</t>
  </si>
  <si>
    <t>MINAYA SUCARI MILAGROS DEL PILAR</t>
  </si>
  <si>
    <t>MIRANDA HERRERA DAVID GUILLERMO</t>
  </si>
  <si>
    <t>MIRANDA LOZANO LUIS IVAN</t>
  </si>
  <si>
    <t>ESPECIALISTA III - TECNICO MINERO</t>
  </si>
  <si>
    <t>MIRANDA ROSALES CÉSAR ROBERTO</t>
  </si>
  <si>
    <t>MIRAVAL BERROSPI NESTOR GERARDO</t>
  </si>
  <si>
    <t>ANALISTA III . SISTEMAS DE GESTIÓN ADMINISTRATIVA</t>
  </si>
  <si>
    <t>MOLINA VISOSA MONICA KARINA</t>
  </si>
  <si>
    <t>ANALISTA I DE ARTIC. Y SOSTENIBILIDAD</t>
  </si>
  <si>
    <t>MOLLA LEON ESPERANZA VICTORIA GLORIA</t>
  </si>
  <si>
    <t>COORDINADOR - AUDITOR</t>
  </si>
  <si>
    <t>MONTES CCARHUAZ EDWARD JOHANNIS</t>
  </si>
  <si>
    <t>MONTESINOS FARFAN ILICH ALEXEI</t>
  </si>
  <si>
    <t>ESPECIALISTA LEGAL EN EVAL. AMB. DE HIDROCARBUROS</t>
  </si>
  <si>
    <t>MONTOYA  CAYCHO  CYNTHIA IRIS</t>
  </si>
  <si>
    <t>ASISTENTE II - REDES</t>
  </si>
  <si>
    <t>MONTOYA ARIAS RONALD ENRIQUE</t>
  </si>
  <si>
    <t>MONTOYA MESTANZA SEGUNDO DEMETRIO</t>
  </si>
  <si>
    <t>ATENCION EN CAJA TRAMITE A USUARIOS EXTERNOS EN RE</t>
  </si>
  <si>
    <t>MORA CHING PATRICIA LILIANA</t>
  </si>
  <si>
    <t>ANALISTA EN LA IMPLEM. DE ACC. DE CONTROL Y DAC</t>
  </si>
  <si>
    <t>MORALES BARRETO EDGARDO</t>
  </si>
  <si>
    <t>MORALES HURTADO JESSICA MILAGROS</t>
  </si>
  <si>
    <t>EXPERTO EN PROY. DE TRANSMISION DE ENEG. ELECTRICA</t>
  </si>
  <si>
    <t>MORENO FLORES LUIS ALBERTO</t>
  </si>
  <si>
    <t>ANALISTA I - EVALUACIÓN EN ASUNTOS DE GESTIÓN MINERA</t>
  </si>
  <si>
    <t>MORENO QUISPE EDWIN ROBERTO</t>
  </si>
  <si>
    <t>ASISTENTE Y APOYO ADMINISTRATIVO</t>
  </si>
  <si>
    <t>MORVELI ZAVALA PATRICIA NATY</t>
  </si>
  <si>
    <t>ESPECIALISTA EN GESTION ACADEMICA PUBLICA</t>
  </si>
  <si>
    <t>MOSCHELLA  VIDAL FIORELLA ROSSANA</t>
  </si>
  <si>
    <t>ESPECIALISTA EN COORDINACION PARLAMENTARIA</t>
  </si>
  <si>
    <t>MOSCOSO ALVAREZ JOSE ALBERTO</t>
  </si>
  <si>
    <t>LICENCIADO EN PUBLICIDAD</t>
  </si>
  <si>
    <t>ESPECIALISTA I - AUDITORIA AMBIENTAL</t>
  </si>
  <si>
    <t>MUCHA AUCCAISE IVAN RUDY</t>
  </si>
  <si>
    <t>INGENIERO SANITARIO</t>
  </si>
  <si>
    <t>ESPECIALISTA I - COORD. DE POLITICAS Y NORMAS</t>
  </si>
  <si>
    <t>MUJICA AQUEHUA JHULFER</t>
  </si>
  <si>
    <t>ESPECIALISTA II - EN ESTUD. Y PROM. ELECTRICA</t>
  </si>
  <si>
    <t>MUNGUIA CHIPANA CRISTOBAL</t>
  </si>
  <si>
    <t>ANALISTA EN CONTENIDOS DIGITALES</t>
  </si>
  <si>
    <t>MUÑOZ BUENDIA MARIA PIA</t>
  </si>
  <si>
    <t>MUÑOZ QUISPE JORGE LUIS</t>
  </si>
  <si>
    <t>ANALISTA II COMUNICACIÓN DIGITAL</t>
  </si>
  <si>
    <t>NARRO CALLA LUIS ALBERTO</t>
  </si>
  <si>
    <t>COMUNICACIÓN SOCIAL</t>
  </si>
  <si>
    <t>ARCHIVO Y CLASIFICACION DE EXPEDIENTES</t>
  </si>
  <si>
    <t>NAVA SAYAS JOSE LUIS</t>
  </si>
  <si>
    <t>ARCHIVISTICA</t>
  </si>
  <si>
    <t>ESPECIALISTA I  - CONCESIONES DE DISTRIBUCIÓN DEL SISTEMA DE TRANSPORTE VIRTUAL DE GAS NATURAL</t>
  </si>
  <si>
    <t>NAVARRETE PEREDA ALEX EDUARDO</t>
  </si>
  <si>
    <t>APOYO EBN ATENCION A LA CAFET. Y CONSERJERIA</t>
  </si>
  <si>
    <t>NEIRA  LARA GISSELLA OFELIA</t>
  </si>
  <si>
    <t>ANALISTA II - EN GESTION DE INFORMACION</t>
  </si>
  <si>
    <t>NEYRA VILCA ANIVAL WENCESLAO</t>
  </si>
  <si>
    <t>ANALISTA I - TÉCNICO AMBIENTAL</t>
  </si>
  <si>
    <t>NIETO  CISNEROS VICTOR RAUL</t>
  </si>
  <si>
    <t>NIETO FERNANDEZ GABY JESSICA</t>
  </si>
  <si>
    <t>AUXILIAR DE SERVICIOS</t>
  </si>
  <si>
    <t>NORABUENA RONDAN JULIAN TEODORO</t>
  </si>
  <si>
    <t>NORIEGA HERRERA JULIO CESAR</t>
  </si>
  <si>
    <t>ESPECIALISTA ADMINISTRATIVO EN REMUNERACIONES</t>
  </si>
  <si>
    <t>NUÑEZ DAZA JORGE EDUARDO</t>
  </si>
  <si>
    <t>ANALISTA DE ADQUISICIONES</t>
  </si>
  <si>
    <t>OBLITAS ROSARIO JUAN CARLOS</t>
  </si>
  <si>
    <t>ANALISTA ECONOMICO EN LOS PROY. DE GAS NATURAL</t>
  </si>
  <si>
    <t>OCAMPO MORENO MARIA DEL PILAR</t>
  </si>
  <si>
    <t>ANALISTA III DE SISTEMA DE INFORMACIÓN GEOGRÁFICA</t>
  </si>
  <si>
    <t>OCAÑA VELASQUEZ RAFAEL EMILIANO</t>
  </si>
  <si>
    <t>OJEDA ZEVALLOS VILMAR ASISCLO</t>
  </si>
  <si>
    <t>ANALISTA II - LEGAL DE PROYECTOS ELECTRICOS</t>
  </si>
  <si>
    <t>OLAECHEA BARBIERI VILMA KARINA</t>
  </si>
  <si>
    <t>OLAZABAL SANCHEZ CESAR</t>
  </si>
  <si>
    <t>OPORTO VARGAS JOSE MIGUEL</t>
  </si>
  <si>
    <t>ORDAYA PANDO RONALD ENRIQUE</t>
  </si>
  <si>
    <t>ANALISTA I DE MONITOREO DE PROYECTOS</t>
  </si>
  <si>
    <t>ORE ZEVALLOS VICTOR ALEXIS</t>
  </si>
  <si>
    <t>COORDINADOR DE CONSULTA PREVIA</t>
  </si>
  <si>
    <t>OROSCO CHAVEZ ALVARO EDWIN</t>
  </si>
  <si>
    <t>ASIST. PARA MANEJO DE Y RESOL. DE CONF. REG. CAJAM</t>
  </si>
  <si>
    <t>ORRILLO CHAVEZ PEPE HUGO</t>
  </si>
  <si>
    <t>ESPECIALISTA I - PASIVOS AMBIENTALES MINEROS</t>
  </si>
  <si>
    <t>ORTEGA  MONTAÑEZ HUGO RAUL</t>
  </si>
  <si>
    <t>ANALISTA I DE GESTION DE PROGRAMAS Y PROYECTOS</t>
  </si>
  <si>
    <t>ORTEGA PALOMINO PAMELA MERCEDES</t>
  </si>
  <si>
    <t>GESTION PÚBLICA</t>
  </si>
  <si>
    <t>ANALISTA EN INGENIERIA</t>
  </si>
  <si>
    <t>ORTIZ NAUTH EDUARDO LINO</t>
  </si>
  <si>
    <t>SECTORISTA REGIONAL  - REGION SUR</t>
  </si>
  <si>
    <t>ORTIZ TENORIO MARTIN ALEJANDRO</t>
  </si>
  <si>
    <t>MEDICO VETERINARIO</t>
  </si>
  <si>
    <t>ORTIZ VILLAVICENCIO ROBERTO ARTURO</t>
  </si>
  <si>
    <t>COORD. TECNICA ADMINISTRATIVA</t>
  </si>
  <si>
    <t>OSORES CASTILLO DE HUAPAYA VIVIAN JOHANNA</t>
  </si>
  <si>
    <t>TRADUCCION E INTERPRETACION</t>
  </si>
  <si>
    <t>OTERO AGUIRRE MARÍA MANUELA</t>
  </si>
  <si>
    <t>APOYO TECNICO</t>
  </si>
  <si>
    <t>OVALLE CAMPOS MIGUEL ANGEL</t>
  </si>
  <si>
    <t>ANALISTA II DE IMPLEMENTACIÓN DE LOS PROCESOS DE CONSULTA PREVIA</t>
  </si>
  <si>
    <t>OVIEDO  GAMERO MAGALY DEL PILAR</t>
  </si>
  <si>
    <t>PACA PALAO PEDRO FERNANDO</t>
  </si>
  <si>
    <t>ASISTENTE ADMINISTRATIVO DE PROCESOS</t>
  </si>
  <si>
    <t>PACHAS CORDOVA LIZ PATRICIA</t>
  </si>
  <si>
    <t>COORDINADOR DE EVALUACIÓN AMBIENTAL DE ACTIVIDADES DE HIDROCARBUROS</t>
  </si>
  <si>
    <t>PACHECO VILLAMARIN VIRGINIA DE LOS MILAGROS</t>
  </si>
  <si>
    <t>ANALISTA EN UNIDADES MAYORES DE HIDROCARBUROS I</t>
  </si>
  <si>
    <t>PADILLA FABIAN  NILDA ANGELICA</t>
  </si>
  <si>
    <t>PAIVA HUARINGA LUZ MARIA</t>
  </si>
  <si>
    <t>ESPEC. EN ADM. DE SISTEMAS DE INF. GEOGRAFICA</t>
  </si>
  <si>
    <t>PALACIN PUCUHUANCA LUBIA GRACE</t>
  </si>
  <si>
    <t>ANALISTA PARA LA REVIS. Y EVAL. DE EXPEDIENTES</t>
  </si>
  <si>
    <t>PALACIOS ARBIZU CARLOS MAGNO</t>
  </si>
  <si>
    <t>ANALISTA III - TÉCNICO MINERO</t>
  </si>
  <si>
    <t>PALACIOS BAHAMONDE  NESTOR ARMANDO</t>
  </si>
  <si>
    <t>PALACIOS HUAMAN ESTHER</t>
  </si>
  <si>
    <t>EXPERTO EN CONTABILIDAD MINERA</t>
  </si>
  <si>
    <t>PALACIOS VALDIVIA GABY</t>
  </si>
  <si>
    <t>SUPERVISOR DE SERV. DE MANT. - YANACOTO</t>
  </si>
  <si>
    <t>PALMA YUPAN JHON DENYS</t>
  </si>
  <si>
    <t>ANALISTA II LEGAL EN DERECHO DE ELECTRICIDAD</t>
  </si>
  <si>
    <t>PALOMINO RIMACHI IVONNE STEPHANIE</t>
  </si>
  <si>
    <t>ESPECIALISTA I DE SEGUIMIENTO DE COMPROMISOS</t>
  </si>
  <si>
    <t>PALOMINO SANCHEZ PEDRO</t>
  </si>
  <si>
    <t>PANCCA COILA AMADEO</t>
  </si>
  <si>
    <t>EVALUACION DE TEMAS RELACIONADOS AL GAS NATURAL</t>
  </si>
  <si>
    <t>PANDURO BAZAN CARLOS</t>
  </si>
  <si>
    <t>PANTOJA MANSILLA MIGUEL EDUARDO</t>
  </si>
  <si>
    <t>ADMINISTRACION BANCARIA</t>
  </si>
  <si>
    <t>ANALISTA III SOCIAL - ASUNTOS AMBIENTALES</t>
  </si>
  <si>
    <t>PARAVECINO SANTIAGO MARILU</t>
  </si>
  <si>
    <t>PARDO BONIFAZ JIMMY FRANK</t>
  </si>
  <si>
    <t>PAREDES VARGAS RONAL SANTOS</t>
  </si>
  <si>
    <t>DOCTOR</t>
  </si>
  <si>
    <t>PARKER CHAVEZ MYRIAM JUANA</t>
  </si>
  <si>
    <t>PARRA TERRAZOS MARIA ELENA</t>
  </si>
  <si>
    <t>ESPECIALISTA I COMERCIALIZ. DE GAS LICUADO DE PETR</t>
  </si>
  <si>
    <t>PARRAGA MARAVI ADEMIR EDUARDIÑO</t>
  </si>
  <si>
    <t>COORDINADOR DE GEST. PASIVOS AMB. DE HIDROCARBUROS</t>
  </si>
  <si>
    <t>PASCO  LOAYZA GABRIEL</t>
  </si>
  <si>
    <t>PROCURADOR ADJUNTO ( E)  (CNP)</t>
  </si>
  <si>
    <t>PASTOR REYES WALTER ORLANDO</t>
  </si>
  <si>
    <t>ESPECIALISTA III DE GESTIÓN DE CONTROL DE CALIDAD DE SOFTWARE Y SISTEMAS DE INFORMACIÓN DOCUMENTARÍA</t>
  </si>
  <si>
    <t>PATIÑO CCOICCA MARIA MERCEDES</t>
  </si>
  <si>
    <t>ANALISTA III - EN EFICIENCIA ENERGÉTICA EN EDIFICACIONES E INDUSTRIAS</t>
  </si>
  <si>
    <t>PAUCAR MAURICIE JESUS HERNAN</t>
  </si>
  <si>
    <t>ESPECIALISTA I - PROMOCION ELECTRICA</t>
  </si>
  <si>
    <t>PAZ HERRERA DANIEL ALFREDO</t>
  </si>
  <si>
    <t>ESTADISTICA</t>
  </si>
  <si>
    <t>PAZ VILLANUEVA NELLY MILUSKA</t>
  </si>
  <si>
    <t>ASISTENTE SECRETARIAL DE GESTIÓN ADM. PARA ALTA D.</t>
  </si>
  <si>
    <t xml:space="preserve">PERALTA SERICHI MAGDALENA </t>
  </si>
  <si>
    <t>ANALISTA P. EVALUACION DE ESTUDIOS AMB. DE EXP.</t>
  </si>
  <si>
    <t>PEREYRA VALENCIA ELIZABETH NATALY</t>
  </si>
  <si>
    <t>ANALISTA I EN EVAL. DE ADMISIBILIDAD DE INSTRTUM.</t>
  </si>
  <si>
    <t>PEREZ  BALDEON KAREN GRACIELA</t>
  </si>
  <si>
    <t>PEREZ ACHO WENDY</t>
  </si>
  <si>
    <t>ESPECIALISTA II EN PROGRAMAS EN PROYECTOS</t>
  </si>
  <si>
    <t>PEREZ CAMARENA ROLF KENT</t>
  </si>
  <si>
    <t>MANTENIM. DE SIST. DE INFORMACION DEL MEM</t>
  </si>
  <si>
    <t>PEREZ CUELLAR FLAVIO</t>
  </si>
  <si>
    <t>ANALISTA II DE TÉCNICA MINERA</t>
  </si>
  <si>
    <t>PEREZ CURI CHRISTIAM ISRAEL</t>
  </si>
  <si>
    <t>ESPECIALISTA III DE GESTIÓN Y COORDINACIÓN  DE DESARROLLO DE SISTEMAS DE INFORMACIÓN</t>
  </si>
  <si>
    <t>PEREZ SALINAS JORGE</t>
  </si>
  <si>
    <t>ASISTENTE PROFESIONAL EN MONITOREO DE MEDIOS</t>
  </si>
  <si>
    <t>PEREZ SEDAMANOS GERMAN ADOLFO</t>
  </si>
  <si>
    <t>EVALUACION DE ESTUDIOS  AMBIENTALES</t>
  </si>
  <si>
    <t>PEREZ SOLIS EVELYN ENA</t>
  </si>
  <si>
    <t>PEZANTES AGUIRRE MARIA LINA</t>
  </si>
  <si>
    <t>PILLCO HUANCCOLLUCHO  YANET</t>
  </si>
  <si>
    <t>PINTO ORTIZ YURY ALFONSO</t>
  </si>
  <si>
    <t>ASISTENTE PROFESIONAL - ATENCIÓN DE SOLICITUDES DE INFORMACIÓN</t>
  </si>
  <si>
    <t>PIÑASHCA MISAICO CLAUDIA JANNET</t>
  </si>
  <si>
    <t>ASISTENTE TECNICO DE GESTIÓN</t>
  </si>
  <si>
    <t>PISCONTI RAMOS JESSICA LIZET</t>
  </si>
  <si>
    <t>ESPECIALISTA INFORM. PARA PROCESOS DE DATOS DE MON</t>
  </si>
  <si>
    <t>PIZARRO LLANOS RICHARD ABEL</t>
  </si>
  <si>
    <t>POLANCO DIAZ MARTHA CONCEPCION</t>
  </si>
  <si>
    <t>ANALISTA II - TÉCNICO AMBIENTAL</t>
  </si>
  <si>
    <t>POMA SANCHEZ SALLY OLENKA</t>
  </si>
  <si>
    <t>ANALISTA II DE SISTEMAS</t>
  </si>
  <si>
    <t>POMAHUALI LAPA RUSSEL NIPSON</t>
  </si>
  <si>
    <t xml:space="preserve">INGENIERIA INFORMÁTICA Y DE SISTEMAS </t>
  </si>
  <si>
    <t>ANALISTA CONTABLE</t>
  </si>
  <si>
    <t>PONCE CASTILLO MARCO ANTONIO</t>
  </si>
  <si>
    <t>PORLLES ARTEAGA MIRJANA ALICE</t>
  </si>
  <si>
    <t>ANALISTA EN COMUNICACION INTERNA</t>
  </si>
  <si>
    <t>PORRAS MENDOZA JOSE MIGUEL</t>
  </si>
  <si>
    <t>INGENIERO GEOLOGO PARA LA EVAL DE PLANES DE CIERRE</t>
  </si>
  <si>
    <t>PORTILLA CORNEJO MATEO ELMER</t>
  </si>
  <si>
    <t>ESPECIALISTA TECNICO EN MATERIA ECONOMICA</t>
  </si>
  <si>
    <t>PRADO COMINGES EDWIN PAUL</t>
  </si>
  <si>
    <t>PRADO VELASQUEZ ALFONSO EDUARDO</t>
  </si>
  <si>
    <t>ANALISTA II DE SEGUIMIENTO DE PROYECTOS DE INVERSIÓN</t>
  </si>
  <si>
    <t>PRINCIPE HUAMANI MARCO ANTONIO</t>
  </si>
  <si>
    <t>ESPECIALISTA II DE COORDINACIÓN DE CONFLICTOS SOCIALES</t>
  </si>
  <si>
    <t>PUENTE FARROÑAY EDUARDO ENRIQUE</t>
  </si>
  <si>
    <t>PUERTA CHOROCO MARTIN ALEJANDRO</t>
  </si>
  <si>
    <t> ARCHIVISTICA</t>
  </si>
  <si>
    <t>AUXILIAR DE ATENCION AL USUARIO</t>
  </si>
  <si>
    <t>PUMA CASTAÑEDA ANGELA MILAGROS</t>
  </si>
  <si>
    <t>PUPPI AGUADO JOSE LUIS</t>
  </si>
  <si>
    <t>QUEA SANTIVAÑEZ WILLIAM ALEJANDRO</t>
  </si>
  <si>
    <t>QUEZADA AMACIFEN MILTON CESAR</t>
  </si>
  <si>
    <t>ELABORACION DE INFORMES TECNICOS</t>
  </si>
  <si>
    <t>QUINTO ANCIETA LUIS CARLOS</t>
  </si>
  <si>
    <t>QUINTO AZCONA LEOVICK ELIAS</t>
  </si>
  <si>
    <t>ASISTENTE PROFESIONAL DE PROGRAMA DE INTEGRACIÓN MINERA</t>
  </si>
  <si>
    <t>QUINTO GALVEZ MILAGROS CONSUELO</t>
  </si>
  <si>
    <t>QUIÑONES ALCOCER ANGELA LILIANA</t>
  </si>
  <si>
    <t xml:space="preserve">ANALISTA III -  EN GESTIÓN ADMINISTRATIVA </t>
  </si>
  <si>
    <t>QUIÑONES MILLA CESAR ALBERTO</t>
  </si>
  <si>
    <t>ADMINISTRACIION</t>
  </si>
  <si>
    <t>COORDINADOR DEL SUBSECTOR ELECTRICIDAD</t>
  </si>
  <si>
    <t>QUIROZ SIGUEÑAS LIVER AGRIPINO</t>
  </si>
  <si>
    <t>QUIROZ VERA TUDELA ELIZABETH</t>
  </si>
  <si>
    <t>QUISPE CANCHO CALIXTO</t>
  </si>
  <si>
    <t>QUISPE CLEMENTE KARLA BRIGHITT</t>
  </si>
  <si>
    <t>QUISPE FIGUEROA DAVID</t>
  </si>
  <si>
    <t>INGENIERO DE PETROLEO</t>
  </si>
  <si>
    <t>ESPECIALISTA I EN EVALUACIÓN AMBIENTAL MINERA – BIOLOGÍA</t>
  </si>
  <si>
    <t>QUISPE HUAMAN JORGE LUIS</t>
  </si>
  <si>
    <t>QUISPE MENA MIGUEL ANGEL</t>
  </si>
  <si>
    <t>ESPECIALISTA III - RECURSOS HÍDRICOS</t>
  </si>
  <si>
    <t>QUISPE MIRANDA MARIA ANGELICA</t>
  </si>
  <si>
    <t>QUIMICO FARMACEUTICO</t>
  </si>
  <si>
    <t>RAMIREZ ALBERCA GRACIELA ELIZABETH</t>
  </si>
  <si>
    <t>RAMIREZ RAMIREZ DEIVID JHONATAN</t>
  </si>
  <si>
    <t>RAMIREZ TAZA ROSENDO YONE</t>
  </si>
  <si>
    <t>ANALISTA I - PASIVOS AMBIENTALES</t>
  </si>
  <si>
    <t>RAMIREZ TRUJILLO HENRY</t>
  </si>
  <si>
    <t>JEFE DE GABINETE DE ASESORES</t>
  </si>
  <si>
    <t>RAMOS BARRIENTOS MARY JANET</t>
  </si>
  <si>
    <t>ANALISTA I DE SEGUIMIENTO DE COMPROMISOS</t>
  </si>
  <si>
    <t>RAMOS MANAYAY SEGUNDO ALBERTO</t>
  </si>
  <si>
    <t>ARQUITECTURA</t>
  </si>
  <si>
    <t>RAMOS TTITO EDUARDO CIRILO</t>
  </si>
  <si>
    <t>EXPERTO EN GEST. DE TECNOLOGIAS DE INF. Y TELECOM.</t>
  </si>
  <si>
    <t>RAQUI QUISPE SAMUEL GENARO</t>
  </si>
  <si>
    <t xml:space="preserve">REQUE  CORDOVA  KELLY ELVA </t>
  </si>
  <si>
    <t>REQUENA MENDIZABAL MANUEL ANDRES</t>
  </si>
  <si>
    <t>ESPECIALISTA EN CONTRATACIONES</t>
  </si>
  <si>
    <t>REVOREDO REGO LUZ DEL PILAR</t>
  </si>
  <si>
    <t>REYES BANATE JUAN ALBERTO</t>
  </si>
  <si>
    <t>REYES MIRANDA JAIME FLORENCIO</t>
  </si>
  <si>
    <t>REYES ROSAS KARINA PAOLA</t>
  </si>
  <si>
    <t>REYES SAMANAMÚ JULISSA LUZ</t>
  </si>
  <si>
    <t>ESPECIALISTA II EN SEGURIDAD TECNOLÓGICA</t>
  </si>
  <si>
    <t>RICALDE SAYAS EDGAR</t>
  </si>
  <si>
    <t>EXPERTO EN COORD. Y GEST. SOCIAL P. MINERIA ILEGAL</t>
  </si>
  <si>
    <t>RICO  LLAQUE  MARTHA LUCIA</t>
  </si>
  <si>
    <t>APOYO EN EL AREA DE RECEPCION Y AUDITORIO</t>
  </si>
  <si>
    <t>RIMACHI RODRIGUEZ JAIME ANTONIO</t>
  </si>
  <si>
    <t>ASISTENTE CONTABLE</t>
  </si>
  <si>
    <t>RIOS MURILLO ALEJANDRO CESAR</t>
  </si>
  <si>
    <t>RIVAS VALCÁRCEL YENNY ELIZABETH</t>
  </si>
  <si>
    <t>ASESOR LEGAL PARA LA ALTA DIRECCION</t>
  </si>
  <si>
    <t>RIVERA  MERE ANGEL GONZALO</t>
  </si>
  <si>
    <t>ANALISTA II - MINERO</t>
  </si>
  <si>
    <t>RIVERA BLANCO EDWARD GIOVANNI</t>
  </si>
  <si>
    <t>AUXILIAR ADMINISTRATIVO</t>
  </si>
  <si>
    <t>RIVERA GONZALES STHEFANY YHESABEL</t>
  </si>
  <si>
    <t>RIVERA MUGUERZA PAUL ORLANDO</t>
  </si>
  <si>
    <t>RIVERA OLIVERA MONICA ANTONIA</t>
  </si>
  <si>
    <t>RIZO PATRON HERRERA YASMIN</t>
  </si>
  <si>
    <t xml:space="preserve">ROBLEDO GONZALES CINTHYA DEL SOCORRO </t>
  </si>
  <si>
    <t xml:space="preserve">ANALISTA I - PROYECTOS ELÉCTRICOS </t>
  </si>
  <si>
    <t>RODAS VARGAS NORIS ROSALIA</t>
  </si>
  <si>
    <t>SERV. MEDICO CON CONOC. EN SEG. Y SALUD EN EL TRAB</t>
  </si>
  <si>
    <t>RODRIGUEZ ALVA JOSE ALFREDO</t>
  </si>
  <si>
    <t>MEDICINA HUMANA</t>
  </si>
  <si>
    <t>ASISTENCIA EN ADM. DOCUMENTARIA</t>
  </si>
  <si>
    <t>RODRIGUEZ AVILA GINA MONICA</t>
  </si>
  <si>
    <t>RODRIGUEZ DEL AGUILA JORGE MANUEL</t>
  </si>
  <si>
    <t>RODRIGUEZ FIGUEROA SERGIO CHRISTIAN</t>
  </si>
  <si>
    <t>ESPEC. EN EVAL. E INTERP. DE BALANCES METALURGICO</t>
  </si>
  <si>
    <t>RODRIGUEZ VASQUEZ CARMEN MARIA</t>
  </si>
  <si>
    <t xml:space="preserve">RODRIGUEZ VELASCO FELIPE DE JESUS </t>
  </si>
  <si>
    <t xml:space="preserve">RODRIGUEZ ZAVALA MAGDA ELISA </t>
  </si>
  <si>
    <t>COORDINADOR(A) LEGAL</t>
  </si>
  <si>
    <t>ROJAS ARMIJO LUCIANA AURORA</t>
  </si>
  <si>
    <t>EXPERTO LEGAL EN NORMATIVIDAD DE FORM. MINERA</t>
  </si>
  <si>
    <t>ROJAS CORTEGANA ALBERTO ARTURO</t>
  </si>
  <si>
    <t>ESPECIALISTA EN SUBESTACIONES DE TRANSFORMACION</t>
  </si>
  <si>
    <t>ROJAS GARAY MARIO JACINTO</t>
  </si>
  <si>
    <t>ANALISTA II DE SEGUIMIENTO Y MONITOREO DE COMPROMISOS SOCIALES</t>
  </si>
  <si>
    <t>ROJAS GOMEZ WILMER DARLIN</t>
  </si>
  <si>
    <t>LICENCIADO EN EDUCACION</t>
  </si>
  <si>
    <t>ROJAS JAEN JUAN PAUL ELIAS</t>
  </si>
  <si>
    <t>ROJAS MONTES VERONICA VIOLETA</t>
  </si>
  <si>
    <t>ROJAS MONTEZA JAINER</t>
  </si>
  <si>
    <t>ESPECIALISTA LEGAL LABORAL</t>
  </si>
  <si>
    <t>ROJAS NARVAEZ TERESA VERONICA</t>
  </si>
  <si>
    <t>ROJAS TANNERT CAROLINA MIRELLA</t>
  </si>
  <si>
    <t>CIENCIAS ADMINISTRATIVAS</t>
  </si>
  <si>
    <t>ASISTENTE LEGAL</t>
  </si>
  <si>
    <t>ROJAS URBINA MARIELITA SOLANGE</t>
  </si>
  <si>
    <t>ROJAS VALLADARES TANIA LUPE</t>
  </si>
  <si>
    <t>ROMAN  NOLE CARLOS ALBERTO</t>
  </si>
  <si>
    <t>ROMAN LAZO JOSE</t>
  </si>
  <si>
    <t>LICENCIADO EN BIOLOGÍA</t>
  </si>
  <si>
    <t>ROMANI CENTURION MANUELA</t>
  </si>
  <si>
    <t>ROMERO BECERRA OLGA GIOVANNA</t>
  </si>
  <si>
    <t>ROMERO CAIRAMPOMA CARLOS ANTONIO</t>
  </si>
  <si>
    <t>ANALISTA EN GEST. SOCIAL DEL AMBITO MIN.ENERG.HID</t>
  </si>
  <si>
    <t>ROMERO CUADROS KATTIA SOLEDAD</t>
  </si>
  <si>
    <t>ROMERO PONCE CATHERINE ANGIE</t>
  </si>
  <si>
    <t>ASISTENCIA EN LAS GESTIONES ADM. Y DE CONTROL</t>
  </si>
  <si>
    <t>ROMERO QUISPE LUIS ENRIQUE</t>
  </si>
  <si>
    <t>ADMINISTRACION NEGOCIOS INTERNACIONALES</t>
  </si>
  <si>
    <t>ROMERO TORRES CESAR IVAN</t>
  </si>
  <si>
    <t>ROSA PEREZ SANCHEZ ROGER</t>
  </si>
  <si>
    <t>ANALISTA III DE CONTABILIDAD</t>
  </si>
  <si>
    <t>RUBIO CASTILLO JORGE EDUARDO</t>
  </si>
  <si>
    <t>RESPONSABLE DE TRANSPORTE</t>
  </si>
  <si>
    <t>RUIZ DE SOMOCURCIO RUIZ DE SOMOCURCIO GONZALO JAVIER</t>
  </si>
  <si>
    <t>MECÁNICO DE MANTENIMIENTO</t>
  </si>
  <si>
    <t>ESPECIALISTA EN INVERSIONES</t>
  </si>
  <si>
    <t>RUIZ QUISPE VANESSA GLICERIA</t>
  </si>
  <si>
    <t>SAAVEDRA HERRERA JOSE INVERLIN</t>
  </si>
  <si>
    <t>SAAVEDRA RUJEL MARYURI JANNINA</t>
  </si>
  <si>
    <t>ASISTENCIA Y APOYO SECRETARIAL</t>
  </si>
  <si>
    <t>SAAVEDRA VITTERI DE LOPEZ SONIA ESPERANZA</t>
  </si>
  <si>
    <t>SAENZ CASTAÑEDA JOSE ANTONIO</t>
  </si>
  <si>
    <t xml:space="preserve">ANALISTA III DE INFRAESTRUCTURA </t>
  </si>
  <si>
    <t>SAEZ REGALADO CHRISTIAN DAVID</t>
  </si>
  <si>
    <t>SAGASTEGUI ARANGURI PATRICIA DEL ROSARIO</t>
  </si>
  <si>
    <t xml:space="preserve">ANALISTA I - ARCHIVO </t>
  </si>
  <si>
    <t xml:space="preserve">SALDAÑA  PAREDES CINDY FIORELA </t>
  </si>
  <si>
    <t>ASISTENTE ADMINISTRATIVO PARA EL ARCHIVO</t>
  </si>
  <si>
    <t>SANCHEZ ATAHUI KETTY</t>
  </si>
  <si>
    <t>COORDINADOR DE GESTION AMBIENTAL</t>
  </si>
  <si>
    <t>SANCHEZ CANALES MARTIN ERASMO</t>
  </si>
  <si>
    <t>SANCHEZ FERNANDEZ JOSE JAIME</t>
  </si>
  <si>
    <t>ANALISTA I - GESTIÓN PRESUPUESTAL</t>
  </si>
  <si>
    <t>SANCHEZ MARRUJO ALFREDO CRISTIAN</t>
  </si>
  <si>
    <t>SANCHEZ ROMERO CARLOS OSWALDO</t>
  </si>
  <si>
    <t>ANALISTA III - AMBIENTAL</t>
  </si>
  <si>
    <t>SANDOVAL DIAZ RONNI AMERICO</t>
  </si>
  <si>
    <t>ASESOR(A) EN PROYECTOS</t>
  </si>
  <si>
    <t>SANDOVAL TUPAYACHI MARIO ANTONIO</t>
  </si>
  <si>
    <t>SANGA YAMPASI WILSON WILFREDO</t>
  </si>
  <si>
    <t>ORIENTADOR DE ADMISION</t>
  </si>
  <si>
    <t>SANTILLAN RIVAS FRANCISCO</t>
  </si>
  <si>
    <t>ESPECIALISTA I - PASIVOS AMBIENTALES</t>
  </si>
  <si>
    <t>SANTOS CONDE ALINA LILIANA</t>
  </si>
  <si>
    <t>TECNICO ADMINISTRATIVO</t>
  </si>
  <si>
    <t xml:space="preserve">SEGOVIA ZUÑIGA SARA ISABEL </t>
  </si>
  <si>
    <t>ANALISTA II LEGAL DE GESTIÓN DEL DIÁLOGO</t>
  </si>
  <si>
    <t>SEGURA QUIÑONES JORGE LUIS</t>
  </si>
  <si>
    <t>ANALISTA III - COMUNICACION EN TEMAS ECONOMICOS</t>
  </si>
  <si>
    <t>SERRA FUERTES RICARDO NESTOR</t>
  </si>
  <si>
    <t>SERRANO FREYRE ANA BEATRIZ</t>
  </si>
  <si>
    <t>ESPECIALISTA I RECURSOS HÍDRICOS - ASUNTOS AMBIENTALES</t>
  </si>
  <si>
    <t>SERVAN VARGAS MARIO</t>
  </si>
  <si>
    <t>INGENIERIA MECANICA DE FLUIDOS</t>
  </si>
  <si>
    <t>ESPECIALISTA II DE SISTEMAS</t>
  </si>
  <si>
    <t>SEVERINO URBINA GILBERTO FERNANDO</t>
  </si>
  <si>
    <t>SIFUENTES CASTRO CAROLINA JENNIFER</t>
  </si>
  <si>
    <t>INDUSTRIAS ALIMENTARIAS</t>
  </si>
  <si>
    <t>ESPECIALISTA III LEGAL LABORAL</t>
  </si>
  <si>
    <t>SILVA ALBAN SILVIA CECILIA DEL SOCORRO</t>
  </si>
  <si>
    <t>ASISTENTE DE GESTION ADMINISTRATIVA Y DIGITALIZ.</t>
  </si>
  <si>
    <t>SILVA HILARIO JORGE ARMANDO</t>
  </si>
  <si>
    <t>ASESOR (A)</t>
  </si>
  <si>
    <t>SILVA OLIVA CARLOS EDUARDO</t>
  </si>
  <si>
    <t>ESPECIALISTA LEGAL EN EVALUACION DE EXPEDIENTES</t>
  </si>
  <si>
    <t>SILVA PASSUNI BRENDA ISABEL</t>
  </si>
  <si>
    <t>DERECHO AMBIENTAL Y DE LOS RR. NN.</t>
  </si>
  <si>
    <t>SILVA TORRES LUIS MIGUEL</t>
  </si>
  <si>
    <t>ASISTENCIA PARA EL AREA DE ASESORES</t>
  </si>
  <si>
    <t>SIMONETTI PAREDES  MARTHA CECILIA</t>
  </si>
  <si>
    <t>SINCHE  VASQUEZ LUIS ALBERTO</t>
  </si>
  <si>
    <t>ASISTENTE DE GESTION DOCUMENTAL Y ARCHIVO</t>
  </si>
  <si>
    <t>SOLANO RAMOS JOSE LUIS</t>
  </si>
  <si>
    <t>SOLIS  SALAZAR  JOSE LUIS</t>
  </si>
  <si>
    <t>SOLIS JAVIER LUIS ALBERTO</t>
  </si>
  <si>
    <t>ESPECIALISTA EN ARCHIVO</t>
  </si>
  <si>
    <t>SONEHUA CASTILLO NIEVES ISABEL</t>
  </si>
  <si>
    <t>ARCHIVÍSTICA Y GESTIÓN DOCUMENTAL</t>
  </si>
  <si>
    <t>APOYO EN ATENCION AL PUBLICO</t>
  </si>
  <si>
    <t>SOSA ARROYO ADRIAN</t>
  </si>
  <si>
    <t>ESPECIALISTA I - AMBIENTAL DE ELECTRICIDAD</t>
  </si>
  <si>
    <t>SOTO MAURICIO EFRAIN ANTIOQUIO</t>
  </si>
  <si>
    <t>ASISTENTE ADMINISTRATIVO SECRETARIAL</t>
  </si>
  <si>
    <t>SOTO PAZ PAOLA GIOVANNA</t>
  </si>
  <si>
    <t xml:space="preserve">ESPECIALISTA III DE LEGAL </t>
  </si>
  <si>
    <t>SOTOMAYOR SOTOMAYOR ZENON DARIO</t>
  </si>
  <si>
    <t>ANALISTA AMBIENTAL PARA SUB SECT. ELECTRICO II</t>
  </si>
  <si>
    <t>STORNAIUOLO GARCIA MARCO ANTONIO</t>
  </si>
  <si>
    <t>SUAREZ GARCIA ROCIO ESPERANZA</t>
  </si>
  <si>
    <t>TALLEDO HERRERA LUIS GABRIEL</t>
  </si>
  <si>
    <t>TAPIA  ARGUEDAS OMAR</t>
  </si>
  <si>
    <t>TAPIA PURIZACA JOSE JAIRO</t>
  </si>
  <si>
    <t>PLANEAMIENTO ENERGÉTICO</t>
  </si>
  <si>
    <t>TARDILLO HIDALGO GUILLERMO ALEJANDRO</t>
  </si>
  <si>
    <t xml:space="preserve">ASESOR (A) TÉCNICO </t>
  </si>
  <si>
    <t>TARRAGA MAMANI GILMER MANUEL</t>
  </si>
  <si>
    <t>ESPECIALISTA II - LEGAL EN DERECHOS ELECTRICOS</t>
  </si>
  <si>
    <t>TEJADA TORDOYA BERTIN MARTIN</t>
  </si>
  <si>
    <t>TELLEZ APONTE GREGORY HELARD</t>
  </si>
  <si>
    <t>TELLO DIAZ RAFAEL</t>
  </si>
  <si>
    <t>APOYO EN EL PROCESO DE DIGITALIZACION</t>
  </si>
  <si>
    <t>TELLO LAUPA JORGE LUIS</t>
  </si>
  <si>
    <t>TELLO LLANTOY ANA MARIA</t>
  </si>
  <si>
    <t>ESPECIALISTA EN ASUNTOS DEL SECTOR ELECTRICIDAD</t>
  </si>
  <si>
    <t>TELLO ORTIZ ELVIS RICHARD</t>
  </si>
  <si>
    <t>ASISTENTE ADM. PARA LA GESTIÓN DEL ARCHIVO</t>
  </si>
  <si>
    <t>TELLO SEGURA CARMEN DEL PILAR</t>
  </si>
  <si>
    <t>ESPECIALISTA EN PRESUPUESTO</t>
  </si>
  <si>
    <t>TELLO SORIA DANIEL RAUL</t>
  </si>
  <si>
    <t>ESPECIALISTA III - PLANEAMIENTO ESTRATÉGICO</t>
  </si>
  <si>
    <t>TELLO TORRE CAROLINA</t>
  </si>
  <si>
    <t>ESPECIALISTA II – LEGAL EN CONCESIONES ELÉCTRICAS</t>
  </si>
  <si>
    <t>TEULLET PIPOLI MARITZA GIUSEPPINA</t>
  </si>
  <si>
    <t>MENSAJERIA DE DOC. CLASIFICADOS</t>
  </si>
  <si>
    <t>TORIBIO ESPINO FRANKS CARLO</t>
  </si>
  <si>
    <t>TORRES AGUILAR CARLOS CHEITO</t>
  </si>
  <si>
    <t>ESPECIALISTA EN EVALUACION DE PROY. DE INVERSION</t>
  </si>
  <si>
    <t>TORRES COPA ALEX AXEL</t>
  </si>
  <si>
    <t>TORRES FELIX ANGELICA ROSARIO</t>
  </si>
  <si>
    <t>TORRES PALOMARES ROBERT</t>
  </si>
  <si>
    <t>CIENCIAS FORESTALES</t>
  </si>
  <si>
    <t>AUDITOR DE CONTROL INSTITUCIONAL</t>
  </si>
  <si>
    <t>TORRES RAMIREZ KELLY YUDITH</t>
  </si>
  <si>
    <t>ESPECIALISTA I EN NORMATIVIDAD DE TECNOLOGÍAS DE LA INFORMACIÒN</t>
  </si>
  <si>
    <t>TORRES TARAZONA MAGALY MARINA</t>
  </si>
  <si>
    <t>CIENCIAS DE LA COMPUTACIÓN</t>
  </si>
  <si>
    <t>EXPERTO TECNICO EN FORMALIZACION MINERA</t>
  </si>
  <si>
    <t>TORRES TUNQUE LUIS TONY</t>
  </si>
  <si>
    <t>TORRICO HUERTA JORGE ALEJANDRO</t>
  </si>
  <si>
    <t>COORDINADOR DE PROM. DEL DIALOGO Y PARTICIP. CIUDA</t>
  </si>
  <si>
    <t>TRIGOSO ALCA ANDRES FERNANDO</t>
  </si>
  <si>
    <t>TRUJILLO ESPINOZA JANETT GUISSELA</t>
  </si>
  <si>
    <t>ESPECIALISTA I - GESTION ADMINISTRATIVA</t>
  </si>
  <si>
    <t>TSUTSUMI VICENTE RICARDO FELIPE</t>
  </si>
  <si>
    <t>ANALISTA I - COMERCIALIZ. DE COMBUSTIBLES LIQUIDOS</t>
  </si>
  <si>
    <t>TUÑON LEVANO GEORGE ANTHONY</t>
  </si>
  <si>
    <t>TECNOLOGO EN URGENCIAS MEDICAS Y DESASTRES</t>
  </si>
  <si>
    <t>UCHIDA TRUJILLO MONICA NAOMI</t>
  </si>
  <si>
    <t>COORD. DE GST. SOCIAL-PASCO,AYACUCHO,JUNIN,HUANUCO</t>
  </si>
  <si>
    <t>ULLOA ARTEAGA CESAR FRANCISCO</t>
  </si>
  <si>
    <t>ESPECIALISTA III PLANIFICACION, PRESUP Y GEST. ADM</t>
  </si>
  <si>
    <t>ULLOA GALLARDO MARIA DEL CARMEN</t>
  </si>
  <si>
    <t>INGENIERIA DE MATERIALES</t>
  </si>
  <si>
    <t>URDANIVIA MORENO MIRIAM GLADYS</t>
  </si>
  <si>
    <t>ESPECIALISTA I DE ARTICULACIÓN Y SOSTENIBILIDAD</t>
  </si>
  <si>
    <t>VALDIVIA URDAY MARIA YOLANDA</t>
  </si>
  <si>
    <t>VALENCIA ARROYO LENIN ARTURO</t>
  </si>
  <si>
    <t>AUXILIAR DE CONSERJERIA PARA LA ALTA DIRECCION</t>
  </si>
  <si>
    <t>VALLADARES MANSILLA MIRIAM KATHERINE</t>
  </si>
  <si>
    <t>VALLE PAJUELO SIMEÓN JOHEL</t>
  </si>
  <si>
    <t>VALLE REINA DALIA</t>
  </si>
  <si>
    <t>ANALISTA III EN ADM. DE PERSONAL</t>
  </si>
  <si>
    <t>VARE  PABLICH  JENNY MARGARITA</t>
  </si>
  <si>
    <t xml:space="preserve">VARGAS  TORRES  SANTOS HERNAN </t>
  </si>
  <si>
    <t>INGENIERÍA ZOOTECNISTA</t>
  </si>
  <si>
    <t>VARGAS CORDOVA RAMIRO ALBERTO</t>
  </si>
  <si>
    <t>VARGAS PEÑA ESTEBAN VICTOR RAUL</t>
  </si>
  <si>
    <t>VASQUEZ ANGULO GABRIELA</t>
  </si>
  <si>
    <t>VASQUEZ BONIFAZ MARTHA CECILIA</t>
  </si>
  <si>
    <t>VASQUEZ CHOY ETHEL LISETH</t>
  </si>
  <si>
    <t>EVALUACION DE SERVIDUMBRES DE DIST. Y TRANS DE GAS</t>
  </si>
  <si>
    <t>VASQUEZ GARCIA MARTHA OFELIA</t>
  </si>
  <si>
    <t>ASESORIA LEGAL PARA DEFENSA JURIDICA DEL ESTADO</t>
  </si>
  <si>
    <t>VASQUEZ MERINO LUIS ENRIQUE</t>
  </si>
  <si>
    <t>ESPEC. EN GESTION DE SIST. INFORMATICOS DE ADM.</t>
  </si>
  <si>
    <t>VASQUEZ UCHUYPUMA JESUS ALEXANDER</t>
  </si>
  <si>
    <t>ESPECIALISTA I EN GESTIÓN POR PROCESOS</t>
  </si>
  <si>
    <t>VEGA  MIRANDA CARLOS ORLANDO</t>
  </si>
  <si>
    <t>UBICACION GEOGRAFICA DE LOS DERECHOS ELECTRICOS</t>
  </si>
  <si>
    <t>VEGA ALVA LUIS ALBERTO</t>
  </si>
  <si>
    <t>VEGA CAJAMARCA BRAULIO</t>
  </si>
  <si>
    <t>VEGA TORRES ROSA MARIA</t>
  </si>
  <si>
    <t>ANALISTA DE GESTION AMBIENTAL EN ELECTRICIDAD</t>
  </si>
  <si>
    <t>VEGAS CARRERA CECILIA ELIZABETH</t>
  </si>
  <si>
    <t>VELA MARROQUIN YESENIA</t>
  </si>
  <si>
    <t>SUPERVISOR DE SEG. INTERNA DE LAS INST. DEL MEM</t>
  </si>
  <si>
    <t>VELASQUEZ OLIVEROS JAIRO UVI</t>
  </si>
  <si>
    <t>VELAZQUEZ ORTIZ EDUARDO MARTIN ADRIAN</t>
  </si>
  <si>
    <t>VELEZ FERNANDEZ GIOVANNA FABIOLA</t>
  </si>
  <si>
    <t>ESPECIALISTA EN GESTION DE REMUNERACIONES</t>
  </si>
  <si>
    <t>VELIZ HURTADO MARCO ANTONIO</t>
  </si>
  <si>
    <t>RELACIONES INDUSTRIALES</t>
  </si>
  <si>
    <t>VENEGAS HUARCAYA DE ALARCON SARA CECILIA</t>
  </si>
  <si>
    <t>VERA OLIVA KARLA LILIBETH</t>
  </si>
  <si>
    <t>VERA TORREJON JOSE ANTONIO</t>
  </si>
  <si>
    <t>VERANO ZELADA SUSANA JANNELLY</t>
  </si>
  <si>
    <t>DERCHO</t>
  </si>
  <si>
    <t>VERASTEGUI SALAZAR MILAGROS DEL PILAR</t>
  </si>
  <si>
    <t>ANALISTA II COMUNICADOR AUDIOVISUAL</t>
  </si>
  <si>
    <t>VIAÑA ROSA-PÉREZ DIEGO</t>
  </si>
  <si>
    <t>VICUÑA ANTARA JHOJANS ANGELO</t>
  </si>
  <si>
    <t>VIDAL GARCIA BEATRIZ RICARDINA</t>
  </si>
  <si>
    <t>ESPECIALISTA III - REMEDIACIÓN</t>
  </si>
  <si>
    <t>VIDAL HERRERA CARLOS ALFONSO</t>
  </si>
  <si>
    <t>VIDALON BARRETO LUIS MIGUEL</t>
  </si>
  <si>
    <t>COORDINADOR SOCIAL - ZONA SELVA</t>
  </si>
  <si>
    <t>VIDALON MOGNASCHI MARCOS DANIEL</t>
  </si>
  <si>
    <t>ESPECIALISTA III DE MINERÍA ILEGAL</t>
  </si>
  <si>
    <t>VILCA MARTINEZ MILKA SOFIA</t>
  </si>
  <si>
    <t>AUXILIAR EN INFORMATICA</t>
  </si>
  <si>
    <t>VILCA NALVARTE ERIK JOEL</t>
  </si>
  <si>
    <t>COORDINADOR DE PLANEAMIENTO ENERGETICO</t>
  </si>
  <si>
    <t>VILCHEZ LEON LUIS ALDO</t>
  </si>
  <si>
    <t>VILLACORTA OLAZA MARCO ANTONIO</t>
  </si>
  <si>
    <t>ANALISTA III - SOCIAL</t>
  </si>
  <si>
    <t>VILLALOBOS PORRAS EDUARDO MARTIN</t>
  </si>
  <si>
    <t>VILLANUEVA MENDOZA NELLY LUCY</t>
  </si>
  <si>
    <t>VILLAR VASQUEZ MERCEDES DEL PILAR</t>
  </si>
  <si>
    <t>VILLAVICENCIO FERRO RICARDO</t>
  </si>
  <si>
    <t>VILLAVICENCIO MOGROVEJO ANA CECILIA</t>
  </si>
  <si>
    <t>VILLEGAS CASTAÑEDA CINTHYA GIULIANA</t>
  </si>
  <si>
    <t xml:space="preserve">ESPECIALISTA I - HIDROCARBUROS Y FONDO DE ESTABILIZACIÓN DE PRECIOS DE COMBUSTIBLES - FEPC. </t>
  </si>
  <si>
    <t>VILLENA CALDERON JUAN JESUS</t>
  </si>
  <si>
    <t>VITER MENDOZA WILFREDO RODOLFO</t>
  </si>
  <si>
    <t>VIVAS MARIN MILAGROS ELSA</t>
  </si>
  <si>
    <t>VIZARRAGA ROBLES ROLANDO MIGUEL</t>
  </si>
  <si>
    <t>WASIW BUENDIA JOSÉ IVÁN</t>
  </si>
  <si>
    <t>YANA JAHUIRA FRANCISCO</t>
  </si>
  <si>
    <t>YANAC SUAREZ GENY ROBERTO</t>
  </si>
  <si>
    <t>YAÑEZ  ARANGO ABEL GUSTAVO</t>
  </si>
  <si>
    <t>ESPECIALISTA EN EVAL. DE PROCEDIMIENTOS MINEROS</t>
  </si>
  <si>
    <t xml:space="preserve">YAUYO VERASTEGUI RUDY RAFFO </t>
  </si>
  <si>
    <t>YAYA DE LA CRUZ CARLOS GUSTAVO</t>
  </si>
  <si>
    <t>YONG AREVALO FERNANDO ANTONIO</t>
  </si>
  <si>
    <t>ANALISTA LEGAL EN GESTION AMB. ENERGETICA II</t>
  </si>
  <si>
    <t>ZABARBURU CHAVEZ SHARON MAY</t>
  </si>
  <si>
    <t>ZAPANA MESTAS LUIS PEDRO</t>
  </si>
  <si>
    <t>ESPECIALISTA DE PLANIF. Y GEST. ACADEMICA CARELEC</t>
  </si>
  <si>
    <t>ZAPATA SERNAQUE ADRIAN</t>
  </si>
  <si>
    <t>ANALISTA III - ECONÓMICO EN ACTIVIDADES DE HIDROCARBUROS</t>
  </si>
  <si>
    <t>ZARATE MORAN MELISSA DEL ROSARIO</t>
  </si>
  <si>
    <t>ZAVALETA ROJAS LESLY BELÉN</t>
  </si>
  <si>
    <t>ANALISTA III  EN DISTRIBUCIÓN DE GAS NATURAL POR RED DE DUCTOS</t>
  </si>
  <si>
    <t>ZEGARRA NINACO JESUS ALFREDO</t>
  </si>
  <si>
    <t>ZEGARRA OTAZU MARISABEL</t>
  </si>
  <si>
    <t>ESPECIALISTA III PLANIFICACIÓN DE COMUNICACIONES</t>
  </si>
  <si>
    <t>ZEVALLOS HUAMAN CLAUDIA LUCIA</t>
  </si>
  <si>
    <t>ANALISTA II DE PREVENCIÓN DE CONFLICTOS SOCIALES EN APURIMAC</t>
  </si>
  <si>
    <t>ZEVALLOS PAREDES ANTHONY HENRY</t>
  </si>
  <si>
    <t>ESPECIALISTA I - SOCIAL REGION PUNO</t>
  </si>
  <si>
    <t>ZEVALLOS PAREDES JHON RICHARD</t>
  </si>
  <si>
    <t xml:space="preserve">ESPECIALISTA II - GESTIÓN DEL DIÁLOGO </t>
  </si>
  <si>
    <t>ZUMAETA COSSIO IGOR MAURO OSMAN</t>
  </si>
  <si>
    <t>COORDINADOR DE SEGUIM. Y MONIT. DE COMPROMISOS SOC</t>
  </si>
  <si>
    <t>ZUMARAN ALVITEZ CARLOS FAUSTO</t>
  </si>
  <si>
    <t>0</t>
  </si>
  <si>
    <t>001: MINEM-CENTRAL</t>
  </si>
  <si>
    <t>UE 001:</t>
  </si>
  <si>
    <t>ESPECIALISTA EN CONTROL DE VALOR. Y SEGUIM. DE OBRAS</t>
  </si>
  <si>
    <t>ACOSTA ALVIAR, JEAN ROBERT</t>
  </si>
  <si>
    <t>TECNICO EN COMPUTACION E INFORMATICA</t>
  </si>
  <si>
    <t>4</t>
  </si>
  <si>
    <t>12</t>
  </si>
  <si>
    <t>6</t>
  </si>
  <si>
    <t>ALONSO LEDESMA, EDWIN JESUS</t>
  </si>
  <si>
    <t>INGENIERO DE SISTEMAS E INFORMATICA</t>
  </si>
  <si>
    <t>TITULO</t>
  </si>
  <si>
    <t>INGENIERO</t>
  </si>
  <si>
    <t>3</t>
  </si>
  <si>
    <t>INGENIERO GEOGRAFO</t>
  </si>
  <si>
    <t xml:space="preserve">ALVA SALVADOR, NERY ZENON </t>
  </si>
  <si>
    <t>ESPECIALISTA EN LICITACIONES Y CONTRATOS</t>
  </si>
  <si>
    <t>09710030</t>
  </si>
  <si>
    <t>BERNAL HUERE, LEYBINEZ</t>
  </si>
  <si>
    <t>ABOGADO</t>
  </si>
  <si>
    <t>COORDINADOR DE OBRAS</t>
  </si>
  <si>
    <t>40510048</t>
  </si>
  <si>
    <t xml:space="preserve">CABALLERO CHAVEZ, BRUSLY SIDNEY </t>
  </si>
  <si>
    <t>INGENIERO ELECTRICISTA</t>
  </si>
  <si>
    <t>ESPECIALISTA I ABASTECIMIENTOS</t>
  </si>
  <si>
    <t>06788061</t>
  </si>
  <si>
    <t>CANO GUERRA, FANNY GIOVANNA</t>
  </si>
  <si>
    <t>LICENCIADA EN ADMINISTRACION</t>
  </si>
  <si>
    <t>ADMINISTRADORA</t>
  </si>
  <si>
    <t>2</t>
  </si>
  <si>
    <t>ABOGADA</t>
  </si>
  <si>
    <t>41474943</t>
  </si>
  <si>
    <t>CHIRINOS FLORES, ISABEL</t>
  </si>
  <si>
    <t>1</t>
  </si>
  <si>
    <t>21514452</t>
  </si>
  <si>
    <t>ESTOCALENKO PEÑA, JAVIER SANTOS</t>
  </si>
  <si>
    <t>TECNICO ALMACENERO</t>
  </si>
  <si>
    <t>25727664</t>
  </si>
  <si>
    <t>FIGUEROA SANDOVAL, GUSTAVO ADOLFO</t>
  </si>
  <si>
    <t>TECNICO ADMINISTRADOR</t>
  </si>
  <si>
    <t>ESPECIALISTA EN LIQUIDACIONES Y CONTRATOS</t>
  </si>
  <si>
    <t>20074722</t>
  </si>
  <si>
    <t>GALVAN LAZO, MARCIAL ROLANDO</t>
  </si>
  <si>
    <t>ESPECIALISTA EN POSTES DE MADERA</t>
  </si>
  <si>
    <t>19917693</t>
  </si>
  <si>
    <t>GAMBOA DEL CARPIO, HECTOR ENRIQUE</t>
  </si>
  <si>
    <t>INGENIERO FORESTAL</t>
  </si>
  <si>
    <t>COORDINADOR DE OBRA</t>
  </si>
  <si>
    <t>09466189</t>
  </si>
  <si>
    <t>HERRERA MENDOZA, RONALD ANGEL</t>
  </si>
  <si>
    <t>ESPECIALISTA EN PLANEAMIENTO Y GESTION SOCIAL</t>
  </si>
  <si>
    <t>07465157</t>
  </si>
  <si>
    <t>HORNA GUEVARA, YVAN WALTER</t>
  </si>
  <si>
    <t>SOCIOLOGO</t>
  </si>
  <si>
    <t>LICENCIADO EN SOCIOLOGIA</t>
  </si>
  <si>
    <t>ASISTENTE DE ALMACEN</t>
  </si>
  <si>
    <t>10095305</t>
  </si>
  <si>
    <t>IMAN SILVA, FRANCISCO</t>
  </si>
  <si>
    <t xml:space="preserve">ASISTENTE EN SERVICIOS GENERALES </t>
  </si>
  <si>
    <t>09838219</t>
  </si>
  <si>
    <t>LEGUIA RIVAS, ISIDRO</t>
  </si>
  <si>
    <t>OPERARIO DE ALMACEN</t>
  </si>
  <si>
    <t>40130327</t>
  </si>
  <si>
    <t>LORO CALDERON, JUAN GUALBERTO</t>
  </si>
  <si>
    <t>9</t>
  </si>
  <si>
    <t>ANALISTA I TESORERIA</t>
  </si>
  <si>
    <t>CONTADOR PUBLICO</t>
  </si>
  <si>
    <t>23850989</t>
  </si>
  <si>
    <t>NAVARRO PEREZ, IVAN EDUARDO</t>
  </si>
  <si>
    <t>41366730</t>
  </si>
  <si>
    <t>OBLITAS JAEGER, ROSA JULIANA</t>
  </si>
  <si>
    <t>ESPECIALISTA I PROYECTOS</t>
  </si>
  <si>
    <t>08556021</t>
  </si>
  <si>
    <t>QUISPE PORRAS, ALFREDO MARIO</t>
  </si>
  <si>
    <t>INGENIERO MECANICO</t>
  </si>
  <si>
    <t>COORDINADOR EN PROYECTOS DE ENERGIA RENOVABLE</t>
  </si>
  <si>
    <t>08141716</t>
  </si>
  <si>
    <t>RAMOS CHAYA, RICARDO MIGUEL</t>
  </si>
  <si>
    <t>40586374</t>
  </si>
  <si>
    <t>REVILLA ALARCON, MARIELLA JUDITH</t>
  </si>
  <si>
    <t>ASISTENTE GERENCIA</t>
  </si>
  <si>
    <t>07642248</t>
  </si>
  <si>
    <t>ROMERO DE LA GRECA, MARIA MARTHA</t>
  </si>
  <si>
    <t>BACHILLER EN ECONOMIA</t>
  </si>
  <si>
    <t>ESPECIALISTA EN CONTROL REND. DE CTAS. Y CONTROL DE INF.</t>
  </si>
  <si>
    <t>45622179</t>
  </si>
  <si>
    <t>RUBIO CASTILLO, JORGE EDUARDO</t>
  </si>
  <si>
    <t>ESPECIALISTA EN LABORES FINANCIERAS Y CONTABLES</t>
  </si>
  <si>
    <t>06908077</t>
  </si>
  <si>
    <t xml:space="preserve">SANCHEZ CABANILLAS, JOSE </t>
  </si>
  <si>
    <t>COORDINADOR DE ESTUDIOS</t>
  </si>
  <si>
    <t>06041480</t>
  </si>
  <si>
    <t>SILVA GARCIA, CARLOS SIMEON</t>
  </si>
  <si>
    <t>ESPECIALISTA EN SISTEMAS E INFORMATICA</t>
  </si>
  <si>
    <t>08668769</t>
  </si>
  <si>
    <t>SOTO AGÜERO, FERNANDO JAVIER</t>
  </si>
  <si>
    <t>06927662</t>
  </si>
  <si>
    <t>SOTOMAYOR MANCISIDOR, WALTER OLEGARIO</t>
  </si>
  <si>
    <t>41099686</t>
  </si>
  <si>
    <t>STOSIC SAONA, ZORKA MILUSKA</t>
  </si>
  <si>
    <t>SECRETARIA EJECUTIVA</t>
  </si>
  <si>
    <t>32909640</t>
  </si>
  <si>
    <t>SUAREZ LEYVA, PERCY OSCAR</t>
  </si>
  <si>
    <t>INGENIERO MECANICO/ELECTRICISTA</t>
  </si>
  <si>
    <t>09371632</t>
  </si>
  <si>
    <t>TORRES KISICH, EDWIN WILFREDO</t>
  </si>
  <si>
    <t>09297780</t>
  </si>
  <si>
    <t>TOVAR DIAZ, RAFAEL</t>
  </si>
  <si>
    <t>02623456</t>
  </si>
  <si>
    <t>VALENCIA SANTIVAÑEZ, JORGE ENRIQUE</t>
  </si>
  <si>
    <t>ANALISTA III LEGAL</t>
  </si>
  <si>
    <t>43106418</t>
  </si>
  <si>
    <t>VARGAS MONTERO, MANUEL ARTURO</t>
  </si>
  <si>
    <t>40101211</t>
  </si>
  <si>
    <t>VASQUEZ MONSALVE, AVELINO</t>
  </si>
  <si>
    <t>10862656</t>
  </si>
  <si>
    <t>VERGARAY INGA, MARLENI MADELEIN</t>
  </si>
  <si>
    <t>ASISTENTE I CONTABLE</t>
  </si>
  <si>
    <t>48707225</t>
  </si>
  <si>
    <t>YNCHE ORE, JIMENA SUSAN</t>
  </si>
  <si>
    <t>41335092</t>
  </si>
  <si>
    <t>ZAVALA VARGAS, OSCAR ALCIDES</t>
  </si>
  <si>
    <t>10724944</t>
  </si>
  <si>
    <t>ZORRILLA MARCAS, ARMANDO</t>
  </si>
  <si>
    <t>005: DGER</t>
  </si>
  <si>
    <t>UE 005:</t>
  </si>
  <si>
    <t>001 IPEN</t>
  </si>
  <si>
    <t>RO</t>
  </si>
  <si>
    <t>AUDITORA ESPECIALISTA</t>
  </si>
  <si>
    <t>10833041</t>
  </si>
  <si>
    <t>ALDEA POLO MARIA SOLEDAD</t>
  </si>
  <si>
    <t>TITULO BIOLOGO-MICROBIOLOGO</t>
  </si>
  <si>
    <t>TITULADO</t>
  </si>
  <si>
    <t>AGENTE DE SEGURIDAD</t>
  </si>
  <si>
    <t>76221142</t>
  </si>
  <si>
    <t>ARBAYZA ARCE  AARON JOSE LUIS</t>
  </si>
  <si>
    <t>SECUNDARIA COMPLETA</t>
  </si>
  <si>
    <t>ASISTENTE DE CALCULO TERMOHIDRAULICO</t>
  </si>
  <si>
    <t>41085549</t>
  </si>
  <si>
    <t>AREVALO FARRO WILDER JOEL</t>
  </si>
  <si>
    <t>BACHILLER EN INGENIERIA FISICA</t>
  </si>
  <si>
    <t>CHOFER - RUTA 2</t>
  </si>
  <si>
    <t>06989876</t>
  </si>
  <si>
    <t>CASTILLO SANCHEZ JORGE AQUILES</t>
  </si>
  <si>
    <t>25565895</t>
  </si>
  <si>
    <t>AYALA ROSILLO VICTOR HUGO</t>
  </si>
  <si>
    <t>AGENTE DE SEGURIDAD - OTAN</t>
  </si>
  <si>
    <t>80106070</t>
  </si>
  <si>
    <t>CHINCHON SERNAQUE JIMMY</t>
  </si>
  <si>
    <t>ESPECIALISTA EN COMERCIALIZACION</t>
  </si>
  <si>
    <t>41437098</t>
  </si>
  <si>
    <t>BARBOZA DELGADO JOSE ALONSO</t>
  </si>
  <si>
    <t>ECONOMISTA</t>
  </si>
  <si>
    <t>AUXILIAR DE OPERACIÓN DEL REACTOR RP-10</t>
  </si>
  <si>
    <t>47609658</t>
  </si>
  <si>
    <t xml:space="preserve">BERAUN  BELLIDO YAELA SUSAN </t>
  </si>
  <si>
    <t>BACHILLER EN INGENIERIA MECANICA Y ELECTRICA</t>
  </si>
  <si>
    <t>ESPECIALISTA EN CONTROLES BIOLOGICOS</t>
  </si>
  <si>
    <t>07861244</t>
  </si>
  <si>
    <t>CABRERA VIZCARRA  CESAR AUGUSTO</t>
  </si>
  <si>
    <t>TITULO DE LICENCIADO EN BIOLOGIA</t>
  </si>
  <si>
    <t xml:space="preserve">ESPECIALISTA EN SEGURIDAD </t>
  </si>
  <si>
    <t>17609334</t>
  </si>
  <si>
    <t>CALLACNA SANTA MARIA JAIME ALBERTO</t>
  </si>
  <si>
    <t>LICENCIADO EN CIENCIAS SOCIALES</t>
  </si>
  <si>
    <t>ADMINISTRADOR DE RED</t>
  </si>
  <si>
    <t>09921045</t>
  </si>
  <si>
    <t>CAÑARI SALAZAR LUIS MIGUEL</t>
  </si>
  <si>
    <t>TITULO INGENIERIA ELECTRONICA</t>
  </si>
  <si>
    <t>OPERADOR DE SEGURIDAD</t>
  </si>
  <si>
    <t>09422416</t>
  </si>
  <si>
    <t>CATPO GARCIA JAIME</t>
  </si>
  <si>
    <t>ESPECIALISTA EN SEGUIMIENTO Y EVALUACION DE LA GESTION DE INVERSION PUBLICA.</t>
  </si>
  <si>
    <t>46750830</t>
  </si>
  <si>
    <t>CHAHUA  ROJAS LILIANA ISABEL</t>
  </si>
  <si>
    <t>BACHILLER EN CIENCIAS SOCIALES CON MENCION A ECONOMIA</t>
  </si>
  <si>
    <t>40455576</t>
  </si>
  <si>
    <t>CHALLAPA VELASQUEZ JAVIER FELICIANO</t>
  </si>
  <si>
    <t>TECNICO EN ELECTRICIDAD</t>
  </si>
  <si>
    <t>INSPECTOR</t>
  </si>
  <si>
    <t>10214523</t>
  </si>
  <si>
    <t>LAIZA REBAZA GRACIA SUSANA</t>
  </si>
  <si>
    <t>TITULO FISICA</t>
  </si>
  <si>
    <t>INGENIERO ELECTRONICO</t>
  </si>
  <si>
    <t>CHAN RIOS RENZO JOSE</t>
  </si>
  <si>
    <t>BACHILLER INGENIERIA ELECTRONICA</t>
  </si>
  <si>
    <t>ESPECIALISTA EN SEGURIDAD Y SALUD EN EL TRABAJO</t>
  </si>
  <si>
    <t>40050814</t>
  </si>
  <si>
    <t>CHAVEZ TORRES JORGE JEAN</t>
  </si>
  <si>
    <t>INGENIERO INDUSTRIAL</t>
  </si>
  <si>
    <t>45327598</t>
  </si>
  <si>
    <t>CHUMPITAZ PALOMINO MARIA DEL CARMEN</t>
  </si>
  <si>
    <t>BACHILLER EN ECONOMICAS CONTABLES Y FINANCIERAS</t>
  </si>
  <si>
    <t>CHOFER - RUTA 3</t>
  </si>
  <si>
    <t>09404968</t>
  </si>
  <si>
    <t>MIRANDA ROJAS FREDDY EFRAIN</t>
  </si>
  <si>
    <t>44808617</t>
  </si>
  <si>
    <t>CHUQUILIN CANCHARI WEBSTER BILVAN</t>
  </si>
  <si>
    <t>ESPECIALISTA CONTABLE</t>
  </si>
  <si>
    <t>COPARI LOZA JENNY JANET</t>
  </si>
  <si>
    <t>44019487</t>
  </si>
  <si>
    <t>CORAHUA LOPEZ WILMER CESAR</t>
  </si>
  <si>
    <t>47797762</t>
  </si>
  <si>
    <t>CURI CAYO LEYDI SUSAN</t>
  </si>
  <si>
    <t>42928392</t>
  </si>
  <si>
    <t>CURI CORDOVA MARIA DENISSE</t>
  </si>
  <si>
    <t>25741985</t>
  </si>
  <si>
    <t>DIAZ FIGARI  ALICIA GRACIELA</t>
  </si>
  <si>
    <t>LICENCIADO EN ADMINISTRACION</t>
  </si>
  <si>
    <t>DIAZ  TORRES JEFRIE  PHILIPH</t>
  </si>
  <si>
    <t>TECNICO MECANICO DE PRODUCCION</t>
  </si>
  <si>
    <t>INGENIERO QUIMICO</t>
  </si>
  <si>
    <t>09576358</t>
  </si>
  <si>
    <t>ESPINOZA LUNA LUPE YNES</t>
  </si>
  <si>
    <t>TITULO INGENIERIA QUIMICA</t>
  </si>
  <si>
    <t>TECNICO EN ARCHIVO</t>
  </si>
  <si>
    <t>40710027</t>
  </si>
  <si>
    <t>GALINDO  ROJAS KAROL VIVIAN</t>
  </si>
  <si>
    <t>BACHILLER EN HISTORIA</t>
  </si>
  <si>
    <t>AGENTE DE SEGURIDAD - SC</t>
  </si>
  <si>
    <t>41593903</t>
  </si>
  <si>
    <t>GARCIA MIRANDA HEBER ALEXANDER</t>
  </si>
  <si>
    <t>CHOFER</t>
  </si>
  <si>
    <t>10295970</t>
  </si>
  <si>
    <t>GONZALES NAVARRO TEOFILO TORIBIO</t>
  </si>
  <si>
    <t>ESPECIALISTA EN GESTION DE RESIDUOS RADIOACTIVOS EN FUENTES ABIERTAS Y SELLADAS</t>
  </si>
  <si>
    <t>09417703</t>
  </si>
  <si>
    <t>GUIOP   CARDENAS LUDWIG</t>
  </si>
  <si>
    <t>TITULO QUIMICO</t>
  </si>
  <si>
    <t>AUDITOR INTEGRANTE</t>
  </si>
  <si>
    <t>41573723</t>
  </si>
  <si>
    <t>ZARRIA BURGA LARRY JONATHAN</t>
  </si>
  <si>
    <t>BACHILLER CONTABILIDAD</t>
  </si>
  <si>
    <t>DYT</t>
  </si>
  <si>
    <t>ESPECIALISTA EN PRODUCCIÓN DE AGENTES PARA RADIODIAGNÓSTICO</t>
  </si>
  <si>
    <t>08667056</t>
  </si>
  <si>
    <t>ZEGARRA MAYO LOURDES LIDANIA</t>
  </si>
  <si>
    <t>03872122</t>
  </si>
  <si>
    <t>HIDALGO  CRUZ MARLON YIMI</t>
  </si>
  <si>
    <t>71951834</t>
  </si>
  <si>
    <t>HIGA  SANCHEZ ARMANDO HARUKY</t>
  </si>
  <si>
    <t>AUXILIAR DE LABORATORIO</t>
  </si>
  <si>
    <t>41805068</t>
  </si>
  <si>
    <t>HUAMAN TENORIO LEOCADIO</t>
  </si>
  <si>
    <t>42392881</t>
  </si>
  <si>
    <t>MANTILLA  MEJIA JAIME STIX</t>
  </si>
  <si>
    <t>JARDINERO</t>
  </si>
  <si>
    <t>HUAMAN  TENORIO JAVIER RAUL</t>
  </si>
  <si>
    <t>10626583</t>
  </si>
  <si>
    <t>HUISA TUMBA EVARISTO</t>
  </si>
  <si>
    <t>AUXILIAR MANTEN. INFRAESTRUCT.</t>
  </si>
  <si>
    <t>41838182</t>
  </si>
  <si>
    <t>INGA SACSARA VICTOR ROLANDO</t>
  </si>
  <si>
    <t>26961881</t>
  </si>
  <si>
    <t>IPARRAGUIRRE VARGAS LUIS WILBERTO</t>
  </si>
  <si>
    <t>40815511</t>
  </si>
  <si>
    <t>JIMENEZ SOTELO NILTON</t>
  </si>
  <si>
    <t>BIOLOGA</t>
  </si>
  <si>
    <t>06272747</t>
  </si>
  <si>
    <t>LEON PALOMINO KETY NOELIA</t>
  </si>
  <si>
    <t>TITULO MICROBIOLOGIA Y PARASITOLOGIA</t>
  </si>
  <si>
    <t>ANALISTA PROGRAMADOR</t>
  </si>
  <si>
    <t>46744685</t>
  </si>
  <si>
    <t>LOBO INCHAUSTEGUI JAIME ALBERTO</t>
  </si>
  <si>
    <t>BACHILLER EN INGENIERIA INFORMATICA</t>
  </si>
  <si>
    <t>ADMINISTRADOR DE REDES</t>
  </si>
  <si>
    <t>47658299</t>
  </si>
  <si>
    <t>ORTIZ LAZO LUIS ANGEL</t>
  </si>
  <si>
    <t>BACHILLER DERECHO</t>
  </si>
  <si>
    <t>ESPECIALISTA EN PLANILLAS</t>
  </si>
  <si>
    <t>06012182</t>
  </si>
  <si>
    <t>LUJAN  VENEGAS HECTOR</t>
  </si>
  <si>
    <t>INGENIERIA INDUSTRIAL/COMUNICACIÓN SOCIAL</t>
  </si>
  <si>
    <t>43289041</t>
  </si>
  <si>
    <t>MATTA GARCIA VICTOR JESUS</t>
  </si>
  <si>
    <t>TECNICO FFAA</t>
  </si>
  <si>
    <t>10068657</t>
  </si>
  <si>
    <t>MORE SANDOVAL SEGUNDO GREGORIO</t>
  </si>
  <si>
    <t>ESPECIALISTA EN PLANEAMIENTO</t>
  </si>
  <si>
    <t>25658183</t>
  </si>
  <si>
    <t>NUÑEZ RUIZ CRISTOBAL</t>
  </si>
  <si>
    <t>45426503</t>
  </si>
  <si>
    <t>GALVEZ SANCHEZ GENARO EFRAIN</t>
  </si>
  <si>
    <t>TITULO INGENIERIA AMBIENTAL</t>
  </si>
  <si>
    <t>73741157</t>
  </si>
  <si>
    <t>OLIVARES  GOMEZ  JUNIOR ALEXANDER</t>
  </si>
  <si>
    <t>BACHILLER EN INGENIERIA ELECTRONICA</t>
  </si>
  <si>
    <t>TECNICO EN ALMACEN</t>
  </si>
  <si>
    <t>70434002</t>
  </si>
  <si>
    <t>OYANGUREN SARMIENTO KATYHUSCA MERCEDES</t>
  </si>
  <si>
    <t>TECNICO EN FARMACIA</t>
  </si>
  <si>
    <t>TECNICO EN MANTENIMIENTO ELECTRONICO</t>
  </si>
  <si>
    <t>46813027</t>
  </si>
  <si>
    <t>BENANCIO VASQUEZ PRESILLO EISENK</t>
  </si>
  <si>
    <t>ASISTENTE EN METROLOGIA DE PATRONES SECUNDARIOS DE MEDICINA NUCLEAR</t>
  </si>
  <si>
    <t>70670024</t>
  </si>
  <si>
    <t>PALOMINO FIGUEROA NATALI CECILIA</t>
  </si>
  <si>
    <t>LICENCIADA EN FISICA</t>
  </si>
  <si>
    <t>ESPECIALISTA EN METROLOGIA DE RADIACIONES IONIZANTES</t>
  </si>
  <si>
    <t>ANALISTA EN GESTION DOCUMENTARIA PARA ASEGURAMIENTO DE LA CALIDAD</t>
  </si>
  <si>
    <t>45798331</t>
  </si>
  <si>
    <t>PERALTA  SAENZ  DANIEL ALFREDO</t>
  </si>
  <si>
    <t>QUIMICA</t>
  </si>
  <si>
    <t>AUXILIAR EN QUIMICA</t>
  </si>
  <si>
    <t>46935328</t>
  </si>
  <si>
    <t>PEREZ SULLCARAY WILBER</t>
  </si>
  <si>
    <t>BACHILLER EN INGENIERIA QUIMICA</t>
  </si>
  <si>
    <t>TECNICO MECANICO</t>
  </si>
  <si>
    <t>40682884</t>
  </si>
  <si>
    <t>PEREZ FERNANDEZ FRISSIAN SAMUEL</t>
  </si>
  <si>
    <t>PROFESIONAL TECNICO EN MECANICA DE MAQUINAS HERRAMIENTAS</t>
  </si>
  <si>
    <t>CHOFER - COMPENSAC. Y COMISIONES</t>
  </si>
  <si>
    <t>09069728</t>
  </si>
  <si>
    <t>PICHON SALAZAR LUIS ALBERTO</t>
  </si>
  <si>
    <t>TECNICO EN CONTRATACIONES</t>
  </si>
  <si>
    <t>41077984</t>
  </si>
  <si>
    <t>PRADO NOMBERTO DANIEL HUMBERTO</t>
  </si>
  <si>
    <t>TECNICO COMPUTACION</t>
  </si>
  <si>
    <t>APOYO DOCUMENTARIO</t>
  </si>
  <si>
    <t>08665755</t>
  </si>
  <si>
    <t>PUYEN PORRO YOLANDA BEATRIZ</t>
  </si>
  <si>
    <t>TECNICO CONTABLE</t>
  </si>
  <si>
    <t>80377633</t>
  </si>
  <si>
    <t>QUEZADA SOLIS ERNESTINO ANGEL</t>
  </si>
  <si>
    <t>47502203</t>
  </si>
  <si>
    <t>QUIÑONES  USAQUI FRANCISCO ULISES</t>
  </si>
  <si>
    <t>43234941</t>
  </si>
  <si>
    <t>QUISPE  LAURA FLEMING NOEL</t>
  </si>
  <si>
    <t>TITULO QUIMICO FARMACEUTICO</t>
  </si>
  <si>
    <t>ASISTENTE DE LABORATORIO DE FISICA DE REACTORES</t>
  </si>
  <si>
    <t>42364247</t>
  </si>
  <si>
    <t>QUISPE  QUISPE JAVIER ARMANDO</t>
  </si>
  <si>
    <t>TITULO LICENCIADO EN CIENCIAS FISICO MATEMATICAS</t>
  </si>
  <si>
    <t>AUXILIAR EN ELECTRONICA</t>
  </si>
  <si>
    <t>47203291</t>
  </si>
  <si>
    <t>VIDAURRE TUÑOQUE DEYSI LILIANA</t>
  </si>
  <si>
    <t>TITULO DE INGENIERIA ELECTRONICA</t>
  </si>
  <si>
    <t>QUISPE  QUISPE FLOR DEL AGUSTINO</t>
  </si>
  <si>
    <t>ESPECIALISTA EN INFRAESTRUCTURA, TRANSPORTE Y SERVICIOS GENERALES</t>
  </si>
  <si>
    <t>06769429</t>
  </si>
  <si>
    <t>GUTIERREZ ARCE  MARCO ANTONIO</t>
  </si>
  <si>
    <t>INGENIERO CIVIL</t>
  </si>
  <si>
    <t>25832452</t>
  </si>
  <si>
    <t>RAMIREZ REATEGUI  NEITHER</t>
  </si>
  <si>
    <t>AUXILIAR MECANICO</t>
  </si>
  <si>
    <t>72700855</t>
  </si>
  <si>
    <t>RAMIREZ CARBAJAL LUIS MIGUEL</t>
  </si>
  <si>
    <t>PROFESIONAL TECNICO EN MECANICA DE PRODUCCION</t>
  </si>
  <si>
    <t>ESPECIALISTA EN ELECTRONICA PARA FISICA EXPERIMENTAL DE REACTORES NUCLEARES</t>
  </si>
  <si>
    <t>47051662</t>
  </si>
  <si>
    <t>SUICA  HUILLCA JUAN ANTONIO</t>
  </si>
  <si>
    <t>ESPECIALISTA EN RACIONALIZACION</t>
  </si>
  <si>
    <t>70157431</t>
  </si>
  <si>
    <t>REDOLFO MANCCO NATHIA KAREM</t>
  </si>
  <si>
    <t>CIENCIA POLITICA</t>
  </si>
  <si>
    <t>47133837</t>
  </si>
  <si>
    <t>CALLE ESPINOZA ERICHZ ZENON</t>
  </si>
  <si>
    <t>06947289</t>
  </si>
  <si>
    <t>RODRIGUEZ PAZ ERNESTO</t>
  </si>
  <si>
    <t>PROFESIONAL MEDICO ASISTENCIAL OCUPACIONAL</t>
  </si>
  <si>
    <t>42695638</t>
  </si>
  <si>
    <t>MACO PINTO MIGUEL ANGEL</t>
  </si>
  <si>
    <t>MEDICO CIRUJANO</t>
  </si>
  <si>
    <t>07641764</t>
  </si>
  <si>
    <t>RODRIGUEZ SANCHEZ CAROLINA AMPARO</t>
  </si>
  <si>
    <t>BACHILLER EN ADMINISTRACION</t>
  </si>
  <si>
    <t>ESPECIALISTA EN ASEGURAMIENTO DE LA CALIDAD</t>
  </si>
  <si>
    <t>42862725</t>
  </si>
  <si>
    <t>ROJAS ROBLES ELIZABETH</t>
  </si>
  <si>
    <t>09548194</t>
  </si>
  <si>
    <t>RONDAN ALVARADO IDELSO VIGNE</t>
  </si>
  <si>
    <t>08306148</t>
  </si>
  <si>
    <t>ROSALES ATENCIA MARINO</t>
  </si>
  <si>
    <t>AUDITOR-ENCARGADO</t>
  </si>
  <si>
    <t>RUBIO  GONZALEZ VICTORIA ELIZABETH</t>
  </si>
  <si>
    <t>TITULO CONTADOR</t>
  </si>
  <si>
    <t>46904045</t>
  </si>
  <si>
    <t>HUAMAN TENORIO JOSE CARLOS</t>
  </si>
  <si>
    <t>MEDICO ASISTENCIAL OCUPACIONAL</t>
  </si>
  <si>
    <t>09592069</t>
  </si>
  <si>
    <t>RUIZ SOVERO BEATRIZ</t>
  </si>
  <si>
    <t>TECNICO MECANICO EN MANTENIMIENTO</t>
  </si>
  <si>
    <t>10690029</t>
  </si>
  <si>
    <t>SAENZ LOPEZ BECKER ALBERTO</t>
  </si>
  <si>
    <t>TECNICO ELECTRONICO</t>
  </si>
  <si>
    <t>44149397</t>
  </si>
  <si>
    <t>LAVAUD GALARRETA CRISTOPHER DAVIS</t>
  </si>
  <si>
    <t>TECNICO INTELIGENCIA</t>
  </si>
  <si>
    <t>44674553</t>
  </si>
  <si>
    <t>SALAZAR CHUMPE SAUL DAVID</t>
  </si>
  <si>
    <t>47534180</t>
  </si>
  <si>
    <t>SANCHEZ POLO SANDRO LEO</t>
  </si>
  <si>
    <t>ASISTENTE DE MESA DE PARTES</t>
  </si>
  <si>
    <t>41179516</t>
  </si>
  <si>
    <t>SANCHEZ ALIAGA GEMA ANALI</t>
  </si>
  <si>
    <t>07178829</t>
  </si>
  <si>
    <t>SARMIENTO BENAVIDES  YANINA ALEJANDRINA</t>
  </si>
  <si>
    <t>10616554</t>
  </si>
  <si>
    <t>SILVA YATACO ANGEL OMAR</t>
  </si>
  <si>
    <t>45287812</t>
  </si>
  <si>
    <t>SURICHAQUI PEREZ JINO RICARDO</t>
  </si>
  <si>
    <t>41248075</t>
  </si>
  <si>
    <t>TELLO ESPINOZA MONICA PAOLA</t>
  </si>
  <si>
    <t>07487931</t>
  </si>
  <si>
    <t>TUME CASTRO MARIA DEL CARMEN</t>
  </si>
  <si>
    <t>TITULO DE LICENCIADO DE ADMINISTRACION</t>
  </si>
  <si>
    <t>ASISTENTE DE SISTEMAS DE INFORMACION</t>
  </si>
  <si>
    <t>VILLALOBOS PISFIL JOSE EDUARDO</t>
  </si>
  <si>
    <t>PROFESIONAL TECNICO EN COMPUTACION E INFORMATICA</t>
  </si>
  <si>
    <t>10018182</t>
  </si>
  <si>
    <t>VILLANUEVA HILARI FRANCISCO REGIS</t>
  </si>
  <si>
    <t>ESPECIALISTA EN RECURSOS HUMANOS</t>
  </si>
  <si>
    <t>40096261</t>
  </si>
  <si>
    <t>WONG  VILLA CLEILA DEYANIRA</t>
  </si>
  <si>
    <t>06119613</t>
  </si>
  <si>
    <t>YALICO VILLALTA CARLOS MANUEL</t>
  </si>
  <si>
    <t>44867694</t>
  </si>
  <si>
    <t>YAP ORTIZ JORGE</t>
  </si>
  <si>
    <t>TECNICO EN ENFERMERIA TECNICA</t>
  </si>
  <si>
    <t>AUXILIAR ELECTRICO</t>
  </si>
  <si>
    <t>48358439</t>
  </si>
  <si>
    <t>YAURI JARA HENRY NARCISO</t>
  </si>
  <si>
    <t>PROFESIONAL EN TECNICAS DE INGENIERIA ELECTRONICA</t>
  </si>
  <si>
    <t>ESPECIALISTA EN DERECHO DEL TRABAJO</t>
  </si>
  <si>
    <t>70493630</t>
  </si>
  <si>
    <t>YNFANTES FLOREZ LUIS CARLOS</t>
  </si>
  <si>
    <t>40653181</t>
  </si>
  <si>
    <t>MELGAREJO ÑAUPA RAMON</t>
  </si>
  <si>
    <t>70510201</t>
  </si>
  <si>
    <t>PALOMINO  OVALLE PERÚ STEFANY</t>
  </si>
  <si>
    <t>41809551</t>
  </si>
  <si>
    <t>MAMANI LAZO INDIRA ANDRHA</t>
  </si>
  <si>
    <t>SECRETARIA EJECUTIVA BILINGÜE</t>
  </si>
  <si>
    <t>ESPECIALISTA EN TESORERIA</t>
  </si>
  <si>
    <t>09333776</t>
  </si>
  <si>
    <t>LEANDRO SILVA IGNACIO POMPELIO</t>
  </si>
  <si>
    <t>CHACALIAZA ARANA JUAN DE DIOS</t>
  </si>
  <si>
    <t>TECNICO QUIMICO PARA CONTROL DE CALIDAD</t>
  </si>
  <si>
    <t>41637973</t>
  </si>
  <si>
    <t>FARFAN VALENZUELA YADBERTO VLADIMIR</t>
  </si>
  <si>
    <t>45086385</t>
  </si>
  <si>
    <t>CHOQUE FLORES EDWIN GUILLERMO</t>
  </si>
  <si>
    <t>09710846</t>
  </si>
  <si>
    <t>CHAVEZ CHAVEZ ALFONSO JOSE</t>
  </si>
  <si>
    <t>43659205</t>
  </si>
  <si>
    <t>ANCHANTE  CHACALTANA  MARIO ZAHEDY</t>
  </si>
  <si>
    <t>02603691</t>
  </si>
  <si>
    <t>CHAVEZ VILCHEZ RUPERTO</t>
  </si>
  <si>
    <t>32987010</t>
  </si>
  <si>
    <t>GONZALES  GUEVARA  KARLA JUANA</t>
  </si>
  <si>
    <t>44776537</t>
  </si>
  <si>
    <t>TINTAYA SANTANDER  GIOVANETT DEL PILAR</t>
  </si>
  <si>
    <t>48803457</t>
  </si>
  <si>
    <t>FERNANDEZ  VILLANOVA DAVID</t>
  </si>
  <si>
    <t>46656817</t>
  </si>
  <si>
    <t>BARRIOS SARMIENTO OLGA DIANA</t>
  </si>
  <si>
    <t>TITULO PRFESIONAL DE ABOGADO</t>
  </si>
  <si>
    <t>10045467</t>
  </si>
  <si>
    <t>GAMBOA ESCOBEDO ZULLY MILAGROS</t>
  </si>
  <si>
    <t>TITULO DE CONTADOR PUBLICO</t>
  </si>
  <si>
    <t>47597249</t>
  </si>
  <si>
    <t>VELARDE  BUENDIA CARLOS ANDRES</t>
  </si>
  <si>
    <t>TITULO DE ADMINISTRACION DE NEGOCIOS INTERNACIONALES</t>
  </si>
  <si>
    <t>TECNICO DE ALMACEN</t>
  </si>
  <si>
    <t>48373557</t>
  </si>
  <si>
    <t>JUAREZ COBEÑAS DIANA CARINA</t>
  </si>
  <si>
    <t>PLIEGO 016:  MINISTERIO DE ENERGÍA Y MINAS</t>
  </si>
  <si>
    <t>PLIEGO 220:  INSTITUTO PERUANO DE ENERGÍA NUCLEAR - IPEN</t>
  </si>
  <si>
    <t>001 INGEMMET</t>
  </si>
  <si>
    <t>DIRECCION DE CATASTRO MINERO</t>
  </si>
  <si>
    <t>09113161</t>
  </si>
  <si>
    <t>ARI PAMPA CARLOS JORGE</t>
  </si>
  <si>
    <t>08686141</t>
  </si>
  <si>
    <t>ASTETE QUINTANA PATRICIA TERESA</t>
  </si>
  <si>
    <t>41412664</t>
  </si>
  <si>
    <t>CAMAYO CACHUAN DIANA MIRNA</t>
  </si>
  <si>
    <t>06648070</t>
  </si>
  <si>
    <t>FLORES ROMANI JOSE ARISTIDES</t>
  </si>
  <si>
    <t>06133057</t>
  </si>
  <si>
    <t>LATORRACA CORONADO FRANK LLINO</t>
  </si>
  <si>
    <t>07386358</t>
  </si>
  <si>
    <t>MUÑOZ DORIA VICTOR JESUS</t>
  </si>
  <si>
    <t>08128115</t>
  </si>
  <si>
    <t>PALIZA BORJA MARIO ANGEL</t>
  </si>
  <si>
    <t>09884581</t>
  </si>
  <si>
    <t>QUISPE HUACCACHI CESAR ALFREDO</t>
  </si>
  <si>
    <t>41030857</t>
  </si>
  <si>
    <t>RATACHI VERASTEGUI IRIS JACKELINE</t>
  </si>
  <si>
    <t>06142997</t>
  </si>
  <si>
    <t>VALDIVIA PONCE GUIDO TEOFILO</t>
  </si>
  <si>
    <t>09467924</t>
  </si>
  <si>
    <t>VILLANQUE TRINIDAD JUAN DOMINGO</t>
  </si>
  <si>
    <t>DIRECCION DE CONCESIONES MINERAS</t>
  </si>
  <si>
    <t>48165968</t>
  </si>
  <si>
    <t>AGUILAR MERMA LILIAN</t>
  </si>
  <si>
    <t>AGOGADO</t>
  </si>
  <si>
    <t>45513421</t>
  </si>
  <si>
    <t>ALFEREZ QUEA FRANKLIN</t>
  </si>
  <si>
    <t>08522530</t>
  </si>
  <si>
    <t>CAMARENA BARZOLA EDGAR WILSON</t>
  </si>
  <si>
    <t>46878437</t>
  </si>
  <si>
    <t>CANO VARGAS SAMIR ERNESTO</t>
  </si>
  <si>
    <t>42937632</t>
  </si>
  <si>
    <t>CHANCAHUAÑA RAMIREZ KARINA</t>
  </si>
  <si>
    <t>44127443</t>
  </si>
  <si>
    <t>CHINCHA URIBE PAULA FIORELLA</t>
  </si>
  <si>
    <t>45173306</t>
  </si>
  <si>
    <t>CORDOVA ALTAMIRANO BLADIMIR</t>
  </si>
  <si>
    <t>44573148</t>
  </si>
  <si>
    <t>CORRALES RUBIO JULIO CESAR</t>
  </si>
  <si>
    <t>73502312</t>
  </si>
  <si>
    <t>CRUZ FERNANDEZ DANISSA CINDY</t>
  </si>
  <si>
    <t>09461007</t>
  </si>
  <si>
    <t>DELGADO ARZOLA FLOR DE MARIA</t>
  </si>
  <si>
    <t>74377640</t>
  </si>
  <si>
    <t>ESPICHAN LEVANO JOSELYNE VANESSA</t>
  </si>
  <si>
    <t>09162401</t>
  </si>
  <si>
    <t>GARCIA HIDALGO CLARA JUANA</t>
  </si>
  <si>
    <t>10476954</t>
  </si>
  <si>
    <t>GARCIA RODRIGUEZ LUIS AGUSTIN FERNANDO</t>
  </si>
  <si>
    <t>10474295</t>
  </si>
  <si>
    <t>GONZALES VARGAS MARGARITA RUTH</t>
  </si>
  <si>
    <t>47388276</t>
  </si>
  <si>
    <t>HERRERA SANCHEZ ERICK PAUL</t>
  </si>
  <si>
    <t>COMPUTACIÓN</t>
  </si>
  <si>
    <t>41608560</t>
  </si>
  <si>
    <t>JURADO KANASHIRO JUAN CARLOS</t>
  </si>
  <si>
    <t>06627590</t>
  </si>
  <si>
    <t>LOBATON MONTOYA EDILBERTO MIGUEL</t>
  </si>
  <si>
    <t>45287551</t>
  </si>
  <si>
    <t>MARIÑO REYES FREDDY ADRIAN</t>
  </si>
  <si>
    <t>09952820</t>
  </si>
  <si>
    <t>MARTINEZ CHUNGA JUAN JOSE</t>
  </si>
  <si>
    <t>ESTUDUANTE</t>
  </si>
  <si>
    <t>47167339</t>
  </si>
  <si>
    <t>MONTALVO ANDRADE SHARYLYN DIANA</t>
  </si>
  <si>
    <t>08423198</t>
  </si>
  <si>
    <t>MORENO ALVAREZ VICTOR HUGO</t>
  </si>
  <si>
    <t>08334004</t>
  </si>
  <si>
    <t>RAMAL LUDEÑA EDGAR ALBERTO</t>
  </si>
  <si>
    <t>46113498</t>
  </si>
  <si>
    <t>REYNOSO ECHEVARRIA JEANDIRA JANETT</t>
  </si>
  <si>
    <t>46800276</t>
  </si>
  <si>
    <t>RIVERA REYNOSO KARLA</t>
  </si>
  <si>
    <t>15713580</t>
  </si>
  <si>
    <t>RODRIGUEZ RAMIREZ JOSE HILDEBRANDO</t>
  </si>
  <si>
    <t>70373982</t>
  </si>
  <si>
    <t>ROSALES ROBLES SONIA YAQUELINE</t>
  </si>
  <si>
    <t>42395996</t>
  </si>
  <si>
    <t>SALCEDO CAMPOS KELLY GEOVANNA</t>
  </si>
  <si>
    <t>09138151</t>
  </si>
  <si>
    <t>SANCHEZ LLANOS PEDRO ANTONIO</t>
  </si>
  <si>
    <t>10295212</t>
  </si>
  <si>
    <t>TORRES FERNANDEZ JORGE LUIS</t>
  </si>
  <si>
    <t>AUXILIAR</t>
  </si>
  <si>
    <t>02665495</t>
  </si>
  <si>
    <t>TRELLES RONDOY CARLOS ENRIQUE</t>
  </si>
  <si>
    <t>09614166</t>
  </si>
  <si>
    <t>VASQUEZ OCROSPOMA IVAN ARISTOBULO</t>
  </si>
  <si>
    <t>07968136</t>
  </si>
  <si>
    <t>VASQUEZ RUIZ VIRGINIA LUZ</t>
  </si>
  <si>
    <t>15853051</t>
  </si>
  <si>
    <t>VIZCARDO CASTAÑEDA JULIO YVAN MARTIN</t>
  </si>
  <si>
    <t>06573571</t>
  </si>
  <si>
    <t>ZAVALA ASTETE GUSTAVO EUSEBIO</t>
  </si>
  <si>
    <t>DIRECCION DE DERECHO DE VIGENCIA</t>
  </si>
  <si>
    <t>40544943</t>
  </si>
  <si>
    <t>AGUILAR RODRIGUEZ PAOLA IRENE</t>
  </si>
  <si>
    <t>40582019</t>
  </si>
  <si>
    <t>COSINGA RODRIGUEZ LUCY JENNY</t>
  </si>
  <si>
    <t>10529209</t>
  </si>
  <si>
    <t>GOMEZ VELIZ MARIA MERCEDES</t>
  </si>
  <si>
    <t>ANALISTA SISTEMAS</t>
  </si>
  <si>
    <t>42977197</t>
  </si>
  <si>
    <t>MORALES POMA JANETT MARILU</t>
  </si>
  <si>
    <t>28228797</t>
  </si>
  <si>
    <t>PREGUNTEGUI ZEA JUAN PERCY</t>
  </si>
  <si>
    <t>10636282</t>
  </si>
  <si>
    <t>QUISPE CASTILLO HENRY</t>
  </si>
  <si>
    <t>SISTEMAS</t>
  </si>
  <si>
    <t>06607553</t>
  </si>
  <si>
    <t>SALAZAR SOSA JORGE FERNANDO</t>
  </si>
  <si>
    <t>25776275</t>
  </si>
  <si>
    <t>SOTO DIAZ EDDY MARCIAL</t>
  </si>
  <si>
    <t>09992038</t>
  </si>
  <si>
    <t>TUMIALÁN VLÁSICA ANA MARÍA</t>
  </si>
  <si>
    <t>09879101</t>
  </si>
  <si>
    <t>DIRECCION DE GEOLOGIA AMBIENTAL Y RIESGO GEOLOGICO</t>
  </si>
  <si>
    <t>42872335</t>
  </si>
  <si>
    <t>AGUILAR CONTRERAS RIGOBERTO</t>
  </si>
  <si>
    <t>42793085</t>
  </si>
  <si>
    <t>AGUIRRE ALEGRE ENOCH MATTHEW</t>
  </si>
  <si>
    <t>GEOLOGO</t>
  </si>
  <si>
    <t>45674203</t>
  </si>
  <si>
    <t>ALBINEZ BACA LUIS ANGEL</t>
  </si>
  <si>
    <t>29661533</t>
  </si>
  <si>
    <t>ANTAYHUA VERA YANET TERESA</t>
  </si>
  <si>
    <t>44017275</t>
  </si>
  <si>
    <t>APAZA CHOQUEHUAYTA FREDY ERLINGTTON</t>
  </si>
  <si>
    <t>42807938</t>
  </si>
  <si>
    <t>ASTETE FARFAN IGOR</t>
  </si>
  <si>
    <t>40790626</t>
  </si>
  <si>
    <t>BENAVENTE ESCOBAR CARLOS LENIN</t>
  </si>
  <si>
    <t>41961510</t>
  </si>
  <si>
    <t>CALDERON VILCA JOSE JAVIER</t>
  </si>
  <si>
    <t>43490146</t>
  </si>
  <si>
    <t>CALUA ESPINOZA FABIOLA</t>
  </si>
  <si>
    <t>43510913</t>
  </si>
  <si>
    <t>CARPIO FERNANDEZ JOSEMANUEL FERNANDO</t>
  </si>
  <si>
    <t>45356494</t>
  </si>
  <si>
    <t>CARRASCO PEREZ MARY CARMEN</t>
  </si>
  <si>
    <t>45437929</t>
  </si>
  <si>
    <t>CARRUITERO ARMESTAR JENNIPHER ROSA</t>
  </si>
  <si>
    <t>43505910</t>
  </si>
  <si>
    <t>CCALLATA PACSI BETO EVANGELIO</t>
  </si>
  <si>
    <t>42739687</t>
  </si>
  <si>
    <t>CONCHA NIÑO DE GUZMAN RONALD FERNANDO</t>
  </si>
  <si>
    <t>71573068</t>
  </si>
  <si>
    <t>CUEVA SANDOVAL KEVIN ARNOLD</t>
  </si>
  <si>
    <t>44435915</t>
  </si>
  <si>
    <t>GARCIA FERNANDEZ BACA BRIANT</t>
  </si>
  <si>
    <t>01335166</t>
  </si>
  <si>
    <t>GOMEZ VELASQUEZ HUGO DULIO</t>
  </si>
  <si>
    <t>45425233</t>
  </si>
  <si>
    <t>HUARIPATA HUARIPATA MARIELA</t>
  </si>
  <si>
    <t>45924094</t>
  </si>
  <si>
    <t>LARA CALDERON JULIO CESAR</t>
  </si>
  <si>
    <t>45282701</t>
  </si>
  <si>
    <t>LAZARTE ZERPA IVONNE ALEJANDRA</t>
  </si>
  <si>
    <t>42506420</t>
  </si>
  <si>
    <t>LEON ORDAZ LUIS MIGUEL</t>
  </si>
  <si>
    <t>40415945</t>
  </si>
  <si>
    <t>LUQUE POMA GRISELDA OFELIA</t>
  </si>
  <si>
    <t>72169337</t>
  </si>
  <si>
    <t>MACHACA FERNANDEZ DANITZA SONIA</t>
  </si>
  <si>
    <t>43764997</t>
  </si>
  <si>
    <t>MACHACCA PUMA ROGER</t>
  </si>
  <si>
    <t>45807074</t>
  </si>
  <si>
    <t>MANRIQUE LLERENA NELIDA VICTORIA</t>
  </si>
  <si>
    <t>29667068</t>
  </si>
  <si>
    <t>MASIAS ALVAREZ PABLO JORGE</t>
  </si>
  <si>
    <t>29712392</t>
  </si>
  <si>
    <t>MIRANDA CRUZ RAFAEL</t>
  </si>
  <si>
    <t>41793287</t>
  </si>
  <si>
    <t>MORENO HERRERA JOSE LUIS</t>
  </si>
  <si>
    <t>45483972</t>
  </si>
  <si>
    <t>NG CUTIPA WAI LONG</t>
  </si>
  <si>
    <t>06158495</t>
  </si>
  <si>
    <t>NUÑEZ JUAREZ SEGUNDO ALFONSO</t>
  </si>
  <si>
    <t>41935242</t>
  </si>
  <si>
    <t>OCHOA ZUBIATE MAGDIE BELTZADIT</t>
  </si>
  <si>
    <t>46327466</t>
  </si>
  <si>
    <t>ORTEGA GONZALES MAYRA ALEXANDRA</t>
  </si>
  <si>
    <t>46928583</t>
  </si>
  <si>
    <t>ORTIZ GUEVARA JHONN HALLSS</t>
  </si>
  <si>
    <t>45222356</t>
  </si>
  <si>
    <t>QUISPE YANAPA BACLIMER</t>
  </si>
  <si>
    <t>29558539</t>
  </si>
  <si>
    <t>RAMOS PALOMINO DOMINGO ALFONSO</t>
  </si>
  <si>
    <t>48962657</t>
  </si>
  <si>
    <t>RENOU FABIEN PAUL</t>
  </si>
  <si>
    <t>73312299</t>
  </si>
  <si>
    <t>ROSELL GUEVARA LORENA NICOLE</t>
  </si>
  <si>
    <t>48430089</t>
  </si>
  <si>
    <t>SANTOS ROMERO BORIS LAUREND</t>
  </si>
  <si>
    <t>42652735</t>
  </si>
  <si>
    <t>SOSA SENTICALA NORMA LUZ</t>
  </si>
  <si>
    <t>40872257</t>
  </si>
  <si>
    <t>TAIPE MAQUERHUA EDU LUIS</t>
  </si>
  <si>
    <t>43420042</t>
  </si>
  <si>
    <t>VASQUEZ CHOQUE ESTIBENE POOL</t>
  </si>
  <si>
    <t>43341781</t>
  </si>
  <si>
    <t>VELA VALDEZ JESSICA CAROLINA</t>
  </si>
  <si>
    <t>10132417</t>
  </si>
  <si>
    <t>VILCHEZ MATA MANUEL SALOMON</t>
  </si>
  <si>
    <t>46271300</t>
  </si>
  <si>
    <t>ZAVALETA YARIN RONALD</t>
  </si>
  <si>
    <t>DIRECCION DE GEOLOGIA REGIONAL</t>
  </si>
  <si>
    <t>09278768</t>
  </si>
  <si>
    <t>ARCOS ALARCON FREDDY ENRIQUE</t>
  </si>
  <si>
    <t>47819315</t>
  </si>
  <si>
    <t>BECERRA VASQUEZ IVAN HAGLER</t>
  </si>
  <si>
    <t>44960938</t>
  </si>
  <si>
    <t>CCALLO MOROCCO WALTER EDMUNDO</t>
  </si>
  <si>
    <t>29434449</t>
  </si>
  <si>
    <t>CERVANTES GARATE JOHN EDUARDO</t>
  </si>
  <si>
    <t>45846643</t>
  </si>
  <si>
    <t>CHUMPITAZ RAMIREZ MARCO ANTONIO</t>
  </si>
  <si>
    <t>44291424</t>
  </si>
  <si>
    <t>COBA PALOMINO LUIS ALFREDO</t>
  </si>
  <si>
    <t>40443026</t>
  </si>
  <si>
    <t>CUEVA TINTAYA EBER</t>
  </si>
  <si>
    <t>70471333</t>
  </si>
  <si>
    <t>FABIAN QUISPE CLAUDIA TIFFANY</t>
  </si>
  <si>
    <t>45824633</t>
  </si>
  <si>
    <t>GOMEZ CAHUAYA ELMER HUGO</t>
  </si>
  <si>
    <t>24367480</t>
  </si>
  <si>
    <t>LATORRE BORDA OSWALDO OMAR</t>
  </si>
  <si>
    <t>09431385</t>
  </si>
  <si>
    <t>LEON LECAROS WALTHER RICARDO</t>
  </si>
  <si>
    <t>46742760</t>
  </si>
  <si>
    <t>MAMANI PACHARI YULY YOVANA</t>
  </si>
  <si>
    <t>01326729</t>
  </si>
  <si>
    <t>MEDINA ALLCCA LUCIO</t>
  </si>
  <si>
    <t>10815573</t>
  </si>
  <si>
    <t>MINAYA ENCARNACION ISAAC BASILIO</t>
  </si>
  <si>
    <t>46626776</t>
  </si>
  <si>
    <t>NOLE VALDEZ MARYURI EDITH</t>
  </si>
  <si>
    <t>42165254</t>
  </si>
  <si>
    <t>OTERO AGUILAR JOEL FRANCISCO</t>
  </si>
  <si>
    <t>41644601</t>
  </si>
  <si>
    <t>RAMOS CABRERA WILLY WILFREDO</t>
  </si>
  <si>
    <t>05415299</t>
  </si>
  <si>
    <t>ROJAS PEZO LYNDA MADELEYNE</t>
  </si>
  <si>
    <t>41241580</t>
  </si>
  <si>
    <t>SANCHEZ CHIMPAY ELVIS ARMANDO</t>
  </si>
  <si>
    <t>40692397</t>
  </si>
  <si>
    <t>SANTISTEBAN ANGELDONIS ALEXANDER</t>
  </si>
  <si>
    <t>45515655</t>
  </si>
  <si>
    <t>SIPION BALTODANO CHRISTIAN DANIEL</t>
  </si>
  <si>
    <t>40447698</t>
  </si>
  <si>
    <t>SOAÑA CONDORI JOVITA</t>
  </si>
  <si>
    <t>45207900</t>
  </si>
  <si>
    <t>SOBERON ORTIZ DANTE</t>
  </si>
  <si>
    <t>29607642</t>
  </si>
  <si>
    <t>SUCAPUCA GOYZUETA CARMEN JULI</t>
  </si>
  <si>
    <t>09859396</t>
  </si>
  <si>
    <t>TEJADA MEDINA LUZ MARINA</t>
  </si>
  <si>
    <t>41032800</t>
  </si>
  <si>
    <t>TORRES GONZALEZ DANIEL ENRIQUE</t>
  </si>
  <si>
    <t>46104239</t>
  </si>
  <si>
    <t>TRINIDAD ARANCIAGA INES ESTHER</t>
  </si>
  <si>
    <t>07752359</t>
  </si>
  <si>
    <t>ZULOAGA GASTIABURU ANDRES DAVID</t>
  </si>
  <si>
    <t>DIRECCION DE LABORATORIOS</t>
  </si>
  <si>
    <t>41758269</t>
  </si>
  <si>
    <t>ABAD LEVANO JOSE LUIS</t>
  </si>
  <si>
    <t>QUIMICO</t>
  </si>
  <si>
    <t>LICENCIADO EN QUIMICA</t>
  </si>
  <si>
    <t>46765397</t>
  </si>
  <si>
    <t>ALGARATE RETTO RENATO ANTONIO</t>
  </si>
  <si>
    <t>42704450</t>
  </si>
  <si>
    <t>AYLAS LAUREANO JUAN CARLOS</t>
  </si>
  <si>
    <t>45197669</t>
  </si>
  <si>
    <t>BARRIENTOS VARGAS ITALO LEONARDO</t>
  </si>
  <si>
    <t>43622657</t>
  </si>
  <si>
    <t>BARZOLA CANTO DEYCI TEREZA</t>
  </si>
  <si>
    <t>42076503</t>
  </si>
  <si>
    <t>CASAS MALPARTIDA JUAN RAMON</t>
  </si>
  <si>
    <t>42126546</t>
  </si>
  <si>
    <t>CCONOVILCA PARAGUAY JESUS FRANS</t>
  </si>
  <si>
    <t>41882723</t>
  </si>
  <si>
    <t>CHUMBE SALAZAR MIGUEL VICTOR</t>
  </si>
  <si>
    <t>44304606</t>
  </si>
  <si>
    <t>COA TITO MIGUEL ANGEL</t>
  </si>
  <si>
    <t>45199375</t>
  </si>
  <si>
    <t>CONDORHUAMAN SUAREZ ANA LUZ</t>
  </si>
  <si>
    <t>41428385</t>
  </si>
  <si>
    <t>CUTIPA CORNEJO MOISES</t>
  </si>
  <si>
    <t>29625612</t>
  </si>
  <si>
    <t>GONZALES ZUÑIGA KATHERINE KELLY</t>
  </si>
  <si>
    <t>40823262</t>
  </si>
  <si>
    <t>HELFERS ASTO JOSE CARLOS</t>
  </si>
  <si>
    <t>07238758</t>
  </si>
  <si>
    <t>HERNANDEZ ALCANTARA MARIO JAVIER</t>
  </si>
  <si>
    <t>03643918</t>
  </si>
  <si>
    <t>JIMENEZ YANGUA WIGBERTO</t>
  </si>
  <si>
    <t>08878759</t>
  </si>
  <si>
    <t>MENDOZA SERRA ROXANA MARLENE</t>
  </si>
  <si>
    <t>43081865</t>
  </si>
  <si>
    <t>MOGROVEJO ROMAN MAYRA MELISSA</t>
  </si>
  <si>
    <t>09971014</t>
  </si>
  <si>
    <t>MONTENEGRO VILLANUEVA ROBERT ADRIANO</t>
  </si>
  <si>
    <t>70051816</t>
  </si>
  <si>
    <t>ÑOPO FERNANDEZ VIRNA ZARELA</t>
  </si>
  <si>
    <t>41000309</t>
  </si>
  <si>
    <t>RAMOS MELGAR JULIO CESAR</t>
  </si>
  <si>
    <t>40767564</t>
  </si>
  <si>
    <t>RODRIGUEZ AYCHO FLOR GREETHEL</t>
  </si>
  <si>
    <t>46035765</t>
  </si>
  <si>
    <t>RONDON CCOPA MARIELA IBETH</t>
  </si>
  <si>
    <t>09982621</t>
  </si>
  <si>
    <t>VASQUEZ CRUZ WILSON ENRIQUE</t>
  </si>
  <si>
    <t>45467489</t>
  </si>
  <si>
    <t>ZÁRATE CHAPARRO HUGO EDUARDO</t>
  </si>
  <si>
    <t>45853071</t>
  </si>
  <si>
    <t>ZUMARAN ALAYZA IRVIN DANIEL</t>
  </si>
  <si>
    <t>05412087</t>
  </si>
  <si>
    <t>ZUÑIGA BARDALES KAROL YAZMIN</t>
  </si>
  <si>
    <t>DIRECCION DE RECURSOS MINERALES Y ENERGETICOS</t>
  </si>
  <si>
    <t>71789905</t>
  </si>
  <si>
    <t>AGURTO CORNEJO ALEX FRANK</t>
  </si>
  <si>
    <t>46990588</t>
  </si>
  <si>
    <t>AMADO RAMIREZ JOSE CARLOS</t>
  </si>
  <si>
    <t>10799964</t>
  </si>
  <si>
    <t>BOULANGGER RONDOY ELMER</t>
  </si>
  <si>
    <t>46194785</t>
  </si>
  <si>
    <t>CALDERON COSSIO CESAR AUGUSTO</t>
  </si>
  <si>
    <t>29668821</t>
  </si>
  <si>
    <t>CALLA PILCO DARWIN EDGARDO</t>
  </si>
  <si>
    <t>26729725</t>
  </si>
  <si>
    <t>CASTAÑEDA SALAZAR DAVID HUMBERTO</t>
  </si>
  <si>
    <t>25560104</t>
  </si>
  <si>
    <t>DAVILA LOPEZ ANA DEL PILAR</t>
  </si>
  <si>
    <t>43524010</t>
  </si>
  <si>
    <t>DE LA CRUZ POMA CESAR</t>
  </si>
  <si>
    <t>40006376</t>
  </si>
  <si>
    <t>ESPINOZA VERDE IGOR ROEL</t>
  </si>
  <si>
    <t>43817399</t>
  </si>
  <si>
    <t>FLORES JACOBO ROSMERY NERY</t>
  </si>
  <si>
    <t>01319993</t>
  </si>
  <si>
    <t>FUENTES PALOMINO JESUS</t>
  </si>
  <si>
    <t>40977265</t>
  </si>
  <si>
    <t>HUANACUNI MAMANI DINA HILDA</t>
  </si>
  <si>
    <t>45871567</t>
  </si>
  <si>
    <t>HUILLCA CHUCTAYA JOSE WILFREDO</t>
  </si>
  <si>
    <t>01286384</t>
  </si>
  <si>
    <t>LOAIZA CHOQUE LEONARDO EDWIN</t>
  </si>
  <si>
    <t>72381823</t>
  </si>
  <si>
    <t>MARCHENA CAMPOS ALONSO ARTURO</t>
  </si>
  <si>
    <t>46426916</t>
  </si>
  <si>
    <t>MONTES VILLALOBOS LUZ MARIA</t>
  </si>
  <si>
    <t>09432111</t>
  </si>
  <si>
    <t>OSCCO BARRIENTOS SANTOS ENRIQUE</t>
  </si>
  <si>
    <t>44077640</t>
  </si>
  <si>
    <t>QUISPE RENTERIA LUIS YSAIAS</t>
  </si>
  <si>
    <t>40968776</t>
  </si>
  <si>
    <t>TORRE ANTAY JHONNY SANTOS</t>
  </si>
  <si>
    <t>07461248</t>
  </si>
  <si>
    <t>TORRES BAZAN VICTOR RAUL</t>
  </si>
  <si>
    <t>47146064</t>
  </si>
  <si>
    <t>TRELLES VASQUEZ GERARDO ADOLFO</t>
  </si>
  <si>
    <t>29739211</t>
  </si>
  <si>
    <t>VALDIVIA POLANCO IGOR ALBERTO</t>
  </si>
  <si>
    <t>42263383</t>
  </si>
  <si>
    <t>VALENCIA MIRAVAL CARLOS EDUARDO</t>
  </si>
  <si>
    <t>42315705</t>
  </si>
  <si>
    <t>VARGAS GUEVARA JOSUE DENNIS</t>
  </si>
  <si>
    <t>45800528</t>
  </si>
  <si>
    <t>VELARDE BENAVENTE YULIANA MAYRA</t>
  </si>
  <si>
    <t>10411142</t>
  </si>
  <si>
    <t>VERA HOLGADO MONICA MARIELA</t>
  </si>
  <si>
    <t>41444404</t>
  </si>
  <si>
    <t>VILLARREAL JARAMILLO EDER</t>
  </si>
  <si>
    <t>29681013</t>
  </si>
  <si>
    <t>YUPA PAREDES GASTON RONALD</t>
  </si>
  <si>
    <t>OFICINA DE ASESORIA JURIDICA</t>
  </si>
  <si>
    <t>08215876</t>
  </si>
  <si>
    <t>ALBORNOZ CASTRO BETTY MARINA</t>
  </si>
  <si>
    <t>15766216</t>
  </si>
  <si>
    <t>BENGOA NISHIYAMA MONICA JEZABEL</t>
  </si>
  <si>
    <t>40500853</t>
  </si>
  <si>
    <t>CARRASCO VERA IRMA ALEJANDRA</t>
  </si>
  <si>
    <t>40972582</t>
  </si>
  <si>
    <t>MORI CAMACHO FELIPE JESUS</t>
  </si>
  <si>
    <t>46312311</t>
  </si>
  <si>
    <t>PACHAS BARDALES SARA INES</t>
  </si>
  <si>
    <t>OFICINA DE PLANEAMIENTO Y PRESUPUESTO</t>
  </si>
  <si>
    <t>09541689</t>
  </si>
  <si>
    <t>CALDERON ALOSILLA IRMA CECILIA</t>
  </si>
  <si>
    <t>45083550</t>
  </si>
  <si>
    <t>CHUQUISENGO PICON LEIDI MAIBET</t>
  </si>
  <si>
    <t>08676932</t>
  </si>
  <si>
    <t>DE LA CRUZ CACHAY RAQUEL VERONICA</t>
  </si>
  <si>
    <t>25779964</t>
  </si>
  <si>
    <t>DURAND ZAMBRANO MARCO ANTONIO</t>
  </si>
  <si>
    <t>28219158</t>
  </si>
  <si>
    <t>ORE RODRIGUEZ CARMEN ASUNCION</t>
  </si>
  <si>
    <t>CONTADOR</t>
  </si>
  <si>
    <t>44193667</t>
  </si>
  <si>
    <t>SOTELO URIBE ALEXANDER MAURICIO</t>
  </si>
  <si>
    <t>09883759</t>
  </si>
  <si>
    <t>VALDEZ CAIPANI RICHARD HUGO</t>
  </si>
  <si>
    <t>OFICINA DE SISTEMAS DE INFORMACION</t>
  </si>
  <si>
    <t>47168142</t>
  </si>
  <si>
    <t>AGUADO HUACCHARAQUI DANIEL FERNANDO</t>
  </si>
  <si>
    <t>07622902</t>
  </si>
  <si>
    <t>ARAYA CARRASCO MIRIAM IVONNE</t>
  </si>
  <si>
    <t>07631066</t>
  </si>
  <si>
    <t>CANCHO VALDIVIA WALTER FERNANDO</t>
  </si>
  <si>
    <t>10512706</t>
  </si>
  <si>
    <t>CHANG ESPINOZA ALVARO GERMAN</t>
  </si>
  <si>
    <t>43380885</t>
  </si>
  <si>
    <t>CONDORI GONZALES FRANK VALENTIN</t>
  </si>
  <si>
    <t>41079468</t>
  </si>
  <si>
    <t>CORDOVA CHUNGA EDUARDO</t>
  </si>
  <si>
    <t>07117402</t>
  </si>
  <si>
    <t>EGOCHEAGA DIAZ CESAR HUGO</t>
  </si>
  <si>
    <t>71835779</t>
  </si>
  <si>
    <t>ESPINAL TORRES JHON FRANK</t>
  </si>
  <si>
    <t>43692241</t>
  </si>
  <si>
    <t>GIL MIRANDA MANUEL ELEODORO</t>
  </si>
  <si>
    <t>44818131</t>
  </si>
  <si>
    <t>GONZALES PINEDO OLIMPIO PORFIRIO</t>
  </si>
  <si>
    <t>09394761</t>
  </si>
  <si>
    <t>JULCA VELASCO LUIS GABRIEL</t>
  </si>
  <si>
    <t>06726515</t>
  </si>
  <si>
    <t>LU LEON SAMUEL</t>
  </si>
  <si>
    <t>44286719</t>
  </si>
  <si>
    <t>LUQUE CASTILLO JONATHAN ALEXIS</t>
  </si>
  <si>
    <t>02434100</t>
  </si>
  <si>
    <t>MACHACA PUMALEQUE RAUL MARINO</t>
  </si>
  <si>
    <t>43569020</t>
  </si>
  <si>
    <t>MECHAN VALIENTE LI RONY</t>
  </si>
  <si>
    <t>10657096</t>
  </si>
  <si>
    <t>RAYMUNDO MENDOZA CARLOS FRANKS</t>
  </si>
  <si>
    <t>21287477</t>
  </si>
  <si>
    <t>RIOS INGA CELSO</t>
  </si>
  <si>
    <t>46859413</t>
  </si>
  <si>
    <t>RUIZ ROJAS JOSE ANDERSON</t>
  </si>
  <si>
    <t>10337448</t>
  </si>
  <si>
    <t>SALAS GUIA MANUEL ARTURO</t>
  </si>
  <si>
    <t>10051075</t>
  </si>
  <si>
    <t>SALCEDO CARBAJAL JUAN WILIANS</t>
  </si>
  <si>
    <t>09805096</t>
  </si>
  <si>
    <t>SUAREZ GUZMAN JOSE LUIS</t>
  </si>
  <si>
    <t>10678704</t>
  </si>
  <si>
    <t>TORRES SOSA JUAN GUSTAVO</t>
  </si>
  <si>
    <t>73742001</t>
  </si>
  <si>
    <t>YUPANQUI HERRERA JORGE LUIS</t>
  </si>
  <si>
    <t>07446661</t>
  </si>
  <si>
    <t>ZAVALA REYES JOSE MANUEL</t>
  </si>
  <si>
    <t>ANALISTA DE SISITEMAS</t>
  </si>
  <si>
    <t>ORGANO DE CONTROL INSTITUCIONAL</t>
  </si>
  <si>
    <t>09633595</t>
  </si>
  <si>
    <t>MOLINA AYALA CHARITO</t>
  </si>
  <si>
    <t>ADMNISTRADOR</t>
  </si>
  <si>
    <t>74074645</t>
  </si>
  <si>
    <t>MONTERO SAHUARAURA INGRID MILAGROS</t>
  </si>
  <si>
    <t>41886906</t>
  </si>
  <si>
    <t>PENAGOS GAMBOA CARMEN JENIFER</t>
  </si>
  <si>
    <t>41473647</t>
  </si>
  <si>
    <t>PRADO LAU JAVIER GONZALO</t>
  </si>
  <si>
    <t>10763306</t>
  </si>
  <si>
    <t>RENGIFO NOLTE ELENA MARITZA</t>
  </si>
  <si>
    <t>20106803</t>
  </si>
  <si>
    <t>SANTIVAÑEZ SANCHEZ EDWIN</t>
  </si>
  <si>
    <t>ORGANO DESCONCENTADO DE PUNO</t>
  </si>
  <si>
    <t>01228834</t>
  </si>
  <si>
    <t>MENENDEZ COAQUIRA WILFREDO MARCELINO</t>
  </si>
  <si>
    <t>ORGANO DESCONCENTRADO DE AREQUIPA</t>
  </si>
  <si>
    <t>70537460</t>
  </si>
  <si>
    <t>CCORIHUAMAN GONZALES MARIA MILAGROS</t>
  </si>
  <si>
    <t>41832818</t>
  </si>
  <si>
    <t>FLUKER ARCE JEANETTE</t>
  </si>
  <si>
    <t>06979058</t>
  </si>
  <si>
    <t>GARLAND SALAZAR MILAGROS PATRICIA</t>
  </si>
  <si>
    <t>46936269</t>
  </si>
  <si>
    <t>PAREDES ROJAS TONNY WILSON</t>
  </si>
  <si>
    <t>17934680</t>
  </si>
  <si>
    <t>PAZ RUBIO JOSE ANTONIO</t>
  </si>
  <si>
    <t>47470108</t>
  </si>
  <si>
    <t>RAMOS GARCIA CARLOS GABRIEL</t>
  </si>
  <si>
    <t>01314510</t>
  </si>
  <si>
    <t>REYNOSO LEZANO VICTOR</t>
  </si>
  <si>
    <t>43194539</t>
  </si>
  <si>
    <t>ROJAS TUESTA DE CASTILLO CECILIA VANESSA</t>
  </si>
  <si>
    <t>10348057</t>
  </si>
  <si>
    <t>UGARTE DECADA RUBEN ROBERTO</t>
  </si>
  <si>
    <t>ORGANO DESCONCENTRADO DE CAJAMARCA</t>
  </si>
  <si>
    <t>43809249</t>
  </si>
  <si>
    <t>COLLANTES VILLEGAS MILAGROS JHISELA</t>
  </si>
  <si>
    <t>PRESIDENCIA EJECUTIVA</t>
  </si>
  <si>
    <t>07893748</t>
  </si>
  <si>
    <t>AVALOS CHAPOÑAN CARLOS AURELIO</t>
  </si>
  <si>
    <t>06754239</t>
  </si>
  <si>
    <t>PAEZ WARTON MIGUEL ADOLFO</t>
  </si>
  <si>
    <t>25659155</t>
  </si>
  <si>
    <t>RIVERA MANTILLA HUGO</t>
  </si>
  <si>
    <t>UNIDAD DE ADMINISTRACION DOCUMENTARIA Y ARCHIVO</t>
  </si>
  <si>
    <t>10169334</t>
  </si>
  <si>
    <t>ARAGONEZ MARTINEZ JOSE ANTONIO</t>
  </si>
  <si>
    <t>43825554</t>
  </si>
  <si>
    <t>CARDENAS CARHUARICRA JHONATHAN LUIS</t>
  </si>
  <si>
    <t>09552750</t>
  </si>
  <si>
    <t>CHINCHAY TORRES MANUEL LORGIO</t>
  </si>
  <si>
    <t>ARCHIVERO</t>
  </si>
  <si>
    <t>40021467</t>
  </si>
  <si>
    <t>CIEZA CAJAHUAMAN MARIA ESTHER</t>
  </si>
  <si>
    <t>28237839</t>
  </si>
  <si>
    <t>FLORES BENDEZU SONIA MARGOT</t>
  </si>
  <si>
    <t>41146561</t>
  </si>
  <si>
    <t>GUTIERREZ SILVA MILAGRITOS</t>
  </si>
  <si>
    <t>40254814</t>
  </si>
  <si>
    <t>JULI MAMANI PEDRO RIVELINO</t>
  </si>
  <si>
    <t>08673225</t>
  </si>
  <si>
    <t>MELENDEZ ARAUJO ZOILA SONIA</t>
  </si>
  <si>
    <t>43592899</t>
  </si>
  <si>
    <t>NORIEGA FASABI KATI</t>
  </si>
  <si>
    <t>09195753</t>
  </si>
  <si>
    <t>ORTIZ HUILLCA MARIANO</t>
  </si>
  <si>
    <t>44194476</t>
  </si>
  <si>
    <t>ROJAS GUILLEN FRANCIS</t>
  </si>
  <si>
    <t>08875847</t>
  </si>
  <si>
    <t>VARGAS MENDOZA ROSA MARIA</t>
  </si>
  <si>
    <t>PSICOLOGIA</t>
  </si>
  <si>
    <t>72897258</t>
  </si>
  <si>
    <t>VERA URBINA MANUELA MERCEDES</t>
  </si>
  <si>
    <t>UNIDAD DE LOGISTICA</t>
  </si>
  <si>
    <t>23943770</t>
  </si>
  <si>
    <t>ALFARO OLIVERA GIOVANNA IRINA</t>
  </si>
  <si>
    <t>42262279</t>
  </si>
  <si>
    <t>AÑAMURO JUSTO ALFONSO JENSEN</t>
  </si>
  <si>
    <t>46181698</t>
  </si>
  <si>
    <t>CARRASCO CHANTA TERESA</t>
  </si>
  <si>
    <t>40950285</t>
  </si>
  <si>
    <t>CASAS ROMERO HENRY HUMBERTO</t>
  </si>
  <si>
    <t>45983864</t>
  </si>
  <si>
    <t>HIDALGO PANDURO CYNTHIA ROCIO</t>
  </si>
  <si>
    <t>06199836</t>
  </si>
  <si>
    <t>JAUREGUI AQUISE ROSA OLGA</t>
  </si>
  <si>
    <t>43888435</t>
  </si>
  <si>
    <t>JULCA SANTOS ARACELI MILAGROS</t>
  </si>
  <si>
    <t>07758907</t>
  </si>
  <si>
    <t>LAZARTE RIVERA RICARDO MARTIN</t>
  </si>
  <si>
    <t>18182919</t>
  </si>
  <si>
    <t>MENDO URBINA CARLOS HENRY</t>
  </si>
  <si>
    <t>07816816</t>
  </si>
  <si>
    <t>MONTEJO ARENAS BERTHA CATALINA</t>
  </si>
  <si>
    <t>40542221</t>
  </si>
  <si>
    <t>RIOS ORTEGA SUE LYA</t>
  </si>
  <si>
    <t>29712019</t>
  </si>
  <si>
    <t>SUCAPUCA PAYEHUANCA ADRIAN</t>
  </si>
  <si>
    <t>07497598</t>
  </si>
  <si>
    <t>TAPIA VELARDE EDSON JULIO</t>
  </si>
  <si>
    <t>07491362</t>
  </si>
  <si>
    <t>TARRILLO MEGO ALBINO</t>
  </si>
  <si>
    <t>31610543</t>
  </si>
  <si>
    <t>TIMOTEO PINEDA JAVIER ANTONIO</t>
  </si>
  <si>
    <t>SEGURIDAD</t>
  </si>
  <si>
    <t>27244665</t>
  </si>
  <si>
    <t>VARGAS BURGA EVARISTO</t>
  </si>
  <si>
    <t>10059442</t>
  </si>
  <si>
    <t>VARGAS ZAPATA LUIS ENRIQUE</t>
  </si>
  <si>
    <t>32138690</t>
  </si>
  <si>
    <t>ZAGAL ARAUJO JORGE EDILBERTO</t>
  </si>
  <si>
    <t>VIGILANCIA</t>
  </si>
  <si>
    <t>UNIDAD DE PERSONAL</t>
  </si>
  <si>
    <t>40264999</t>
  </si>
  <si>
    <t>CASACHAGUA GARCIA LUIS ALBERTO</t>
  </si>
  <si>
    <t>09099090</t>
  </si>
  <si>
    <t>CASAS AVILA JOSE EDUARDO</t>
  </si>
  <si>
    <t>41182730</t>
  </si>
  <si>
    <t>FERNANDEZ IZAGUIRRE CARLA VANESSA</t>
  </si>
  <si>
    <t>29675127</t>
  </si>
  <si>
    <t>MORALES ZUÑIGA RENZO ERICK</t>
  </si>
  <si>
    <t>UNIDAD DE RELACIONES INSTITUCIONALES</t>
  </si>
  <si>
    <t>09832817</t>
  </si>
  <si>
    <t>CHAMBI MOLOCHE NURIA YANIRA</t>
  </si>
  <si>
    <t>PUBLICISTA</t>
  </si>
  <si>
    <t>DECORADOR PUBLICISTA</t>
  </si>
  <si>
    <t>45086872</t>
  </si>
  <si>
    <t>GALLEGOS TORRES ANDERSON JESUS BILNARSIB</t>
  </si>
  <si>
    <t>COMUNICADOR</t>
  </si>
  <si>
    <t>COMUNICACIONES</t>
  </si>
  <si>
    <t>73065610</t>
  </si>
  <si>
    <t>MIRANDA VARGAS CARLOS ANTHONY</t>
  </si>
  <si>
    <t>09479237</t>
  </si>
  <si>
    <t>SARMIENTO SANTOS RUTH ZORIKA</t>
  </si>
  <si>
    <t>BIBLIOTECOLOGA</t>
  </si>
  <si>
    <t>74736683</t>
  </si>
  <si>
    <t>ZUTA MARIN CINDY GERALDINE</t>
  </si>
  <si>
    <t>UNIDAD FINANCIERA</t>
  </si>
  <si>
    <t>42327942</t>
  </si>
  <si>
    <t>AMARO BLANCO MARITZA OLIVIA</t>
  </si>
  <si>
    <t>08146457</t>
  </si>
  <si>
    <t>CHUCHON APAYTA MARIBEL</t>
  </si>
  <si>
    <t>09784219</t>
  </si>
  <si>
    <t>CLAVO RODRIGUEZ CECILIA</t>
  </si>
  <si>
    <t>41921629</t>
  </si>
  <si>
    <t>GARAY TORRES BILLY</t>
  </si>
  <si>
    <t>08433346</t>
  </si>
  <si>
    <t>HERCILLA VALDIVIA ROSA AURORA</t>
  </si>
  <si>
    <t>40650326</t>
  </si>
  <si>
    <t>MURILLO STEER GILMAR JOEL</t>
  </si>
  <si>
    <t>09864407</t>
  </si>
  <si>
    <t>TELLO RONDON DANIEL SANTIAGO</t>
  </si>
  <si>
    <t>48433961</t>
  </si>
  <si>
    <t>ZARATE BASAVE VICTOR HUGO</t>
  </si>
  <si>
    <t>ABANTO LOPEZ ALONSO VICENTE</t>
  </si>
  <si>
    <t xml:space="preserve">UNIDAD DE PERSONAL </t>
  </si>
  <si>
    <t>AGUINAGA SAAVEDRA JESUS ENRIQUE</t>
  </si>
  <si>
    <t>BOGADO</t>
  </si>
  <si>
    <t>INGENIERIA GEOLOGICA, MINAS Y METALURGICA</t>
  </si>
  <si>
    <t>INGENIERO GEOLOGO</t>
  </si>
  <si>
    <t>06833830</t>
  </si>
  <si>
    <t>ALDANA ALVAREZ MANUEL ISMAEL</t>
  </si>
  <si>
    <t>ALEGRIA CHAMORRO PAUL ALEXANDER</t>
  </si>
  <si>
    <t>HISTORIADOR</t>
  </si>
  <si>
    <t>OFICINA DE ADMINISTRACION</t>
  </si>
  <si>
    <t>09877441</t>
  </si>
  <si>
    <t>ALFERRANO DÓNOFRIO DE BRAVO MIRELLA ANGELA</t>
  </si>
  <si>
    <t>ALTAMIRANO DIAZ EVELYN MILAGROS</t>
  </si>
  <si>
    <t>INGENIERA DE SISTEMAS</t>
  </si>
  <si>
    <t>ALVARADO DIAZ DORIS LILIANA</t>
  </si>
  <si>
    <t>COORDINACION ORGANOS DESCONCENTRADOS</t>
  </si>
  <si>
    <t>AMEZQUITA TAPIA JESUS WALTTER</t>
  </si>
  <si>
    <t>SEC.COMPLT.</t>
  </si>
  <si>
    <t>ANASTACIO CASTILLO ANA CECILIA</t>
  </si>
  <si>
    <t>BACHILLER EN INGENIERIA GEOLOGICA</t>
  </si>
  <si>
    <t>ANCCASI FIGUEROA ROSA MARIA</t>
  </si>
  <si>
    <t>INGENIERO GEOLOGICO</t>
  </si>
  <si>
    <t>ANDAVIZA CORRALES CLAUDIA STEFANY</t>
  </si>
  <si>
    <t>EGRESADA EN SECRETARIADO EJECUTIVO</t>
  </si>
  <si>
    <t>71336292</t>
  </si>
  <si>
    <t>ANDIA REATEGUI CHRISTIAN ENRIQUE</t>
  </si>
  <si>
    <t>APAZA HUARACHA BERNABE</t>
  </si>
  <si>
    <t>AQUINO RIVERA VLADIMIR ELFER</t>
  </si>
  <si>
    <t>47689273</t>
  </si>
  <si>
    <t>ARAUJO HUAMAN GAEL</t>
  </si>
  <si>
    <t>00014550</t>
  </si>
  <si>
    <t>ARBILDO PAREDES JUAN</t>
  </si>
  <si>
    <t>ARELLANO HUAMAN JULIO JAVIER</t>
  </si>
  <si>
    <t>ARENAS CHAVEZ JUAN ALBINO</t>
  </si>
  <si>
    <t>AREVALO CAMONES ANTONIO PEREGRINO</t>
  </si>
  <si>
    <t>DOCENTE</t>
  </si>
  <si>
    <t>PROFESOR EN MATEMATICAS Y COMPUTACION E INFORMATICA</t>
  </si>
  <si>
    <t>ARMAS VALERIO WILLIAM JUAN</t>
  </si>
  <si>
    <t>SISTEMA E INFORMATICA</t>
  </si>
  <si>
    <t>INGENIERO DE SISTEMAS</t>
  </si>
  <si>
    <t>ARRIOLA ACUÑA DEISY MAGALY</t>
  </si>
  <si>
    <t>ASTO RAMOS ESTEBAN ELVIS</t>
  </si>
  <si>
    <t>BACHILLER EN FISICA</t>
  </si>
  <si>
    <t>04429528</t>
  </si>
  <si>
    <t>ATENCIO AVEDAÑO ETHWALDO WALTER</t>
  </si>
  <si>
    <t>73442272</t>
  </si>
  <si>
    <t>AVILA TOLEDO VLADIMIR IVAN</t>
  </si>
  <si>
    <t>BACHILLER EN DERECHO</t>
  </si>
  <si>
    <t>AYALA CARAZAS LUIS ALBERTO</t>
  </si>
  <si>
    <t>AYALA SALVATIERRA FREDDY</t>
  </si>
  <si>
    <t>AYALA TRUJILLO BENJI GREGORY</t>
  </si>
  <si>
    <t>ADMINISTRADOR</t>
  </si>
  <si>
    <t>BACHILLER CIENCIAS ADMINISTRATIVAS</t>
  </si>
  <si>
    <t>BARZOLA OSORIO MACK ALAN</t>
  </si>
  <si>
    <t>BAZAN MENDOZA AMILCAR</t>
  </si>
  <si>
    <t>INGENIERO GELOGO</t>
  </si>
  <si>
    <t>BRAVO VASQUEZ RECAREDO</t>
  </si>
  <si>
    <t>08231339</t>
  </si>
  <si>
    <t>BUSTAMANTE BALDEON CARLOS ENRIQUE</t>
  </si>
  <si>
    <t>09874390</t>
  </si>
  <si>
    <t>CABRAL GUTIERREZ ALEXANDER</t>
  </si>
  <si>
    <t xml:space="preserve">ESTUDIANDO </t>
  </si>
  <si>
    <t>CAHUANA SAIRITUPA DENIS JHOMY</t>
  </si>
  <si>
    <t>CAHUATA TURO ALEXANDER ADRIAN</t>
  </si>
  <si>
    <t>CALLUCHE RIOS EDUARD AMERICO</t>
  </si>
  <si>
    <t>TECNICO EN ADMINISTRACION DE NEGOCIOS</t>
  </si>
  <si>
    <t>CANELO LOPEZ LUIS EDUARDO</t>
  </si>
  <si>
    <t>CARHUAMACA CORDOVA ADRIAN</t>
  </si>
  <si>
    <t>09833684</t>
  </si>
  <si>
    <t>CARRASCO ALARCON JOSE MODESTO</t>
  </si>
  <si>
    <t>ADMINISTRACION DE NEGOCIOS</t>
  </si>
  <si>
    <t>BACHILLER EN ADMINISTRACION DE NEGOCIOS</t>
  </si>
  <si>
    <t>CARRUYO RUIZ DOREEN DAYANA</t>
  </si>
  <si>
    <t>INGENIERA</t>
  </si>
  <si>
    <t>INGENIERA GEOLOGA</t>
  </si>
  <si>
    <t>CASANOVA GUADALUPE WILFREDO VALENCIA</t>
  </si>
  <si>
    <t>CASTAÑEDA AGUILAR SANDRA JESSY</t>
  </si>
  <si>
    <t>COMPUTACION E INFORMATICA</t>
  </si>
  <si>
    <t>46485560</t>
  </si>
  <si>
    <t>CASTRO FERNANDEZ FABIOLA WENDY</t>
  </si>
  <si>
    <t>GERENCIA GENERAL</t>
  </si>
  <si>
    <t>CAVERO SILVA JORGE ENRIQUE</t>
  </si>
  <si>
    <t>INGENIRO GEOFISICO</t>
  </si>
  <si>
    <t>CCOPA ALEGRE JOHN MARLON</t>
  </si>
  <si>
    <t>CENTENO ROQUE MAGNO WILIAN</t>
  </si>
  <si>
    <t>BACHILLER EN DRECHO</t>
  </si>
  <si>
    <t>CHAPILLIQUEN IZUGARRA RICHARD GUILLERMO</t>
  </si>
  <si>
    <t>CHAPILLIQUEN NEIRA JESSICA PAOLA</t>
  </si>
  <si>
    <t>CHAVEZ MACHACA CESAR ANTHONY</t>
  </si>
  <si>
    <t>CHERO INOQUIO DENNYS RENATO</t>
  </si>
  <si>
    <t>CHIRITO CORDOVA LESLIE JANETTE</t>
  </si>
  <si>
    <t>CHIROQUE HERRERA CRISTHIAN ANDERSON</t>
  </si>
  <si>
    <t xml:space="preserve">INGENIERO </t>
  </si>
  <si>
    <t>UNIDAD DE RELACIONES INSTIUCIONALES</t>
  </si>
  <si>
    <t>CHIROQUE LINARES DANIEL STALIN</t>
  </si>
  <si>
    <t>ESTUDIANTE</t>
  </si>
  <si>
    <t>ESTUDIANTE DE  ARTES Y DISEÑO GRAFICO EMPRESARIAL</t>
  </si>
  <si>
    <t>CHOQUE CAHUI KATHERIN LISSET</t>
  </si>
  <si>
    <t>CHOQUENAIRA GARATE GUISELA</t>
  </si>
  <si>
    <t>GEOLOGIA</t>
  </si>
  <si>
    <t>COAQUIRA MACHACA JOHNNY LUIS</t>
  </si>
  <si>
    <t>COELLO VEGA MARCO ALFONSO</t>
  </si>
  <si>
    <t>ESTUDIANTE DE ADMNISTRACION DE NEGOCIOS</t>
  </si>
  <si>
    <t>CONDORI QUISPE ELMER</t>
  </si>
  <si>
    <t>MAGISTER EN HIDROGEOLOGIA Y GESTION DE LOS RECURSOS HIDRICOS</t>
  </si>
  <si>
    <t>CORREA HERRERA VIRGINA SILVIANA</t>
  </si>
  <si>
    <t>TEC. COMPUTACION</t>
  </si>
  <si>
    <t>PROFESIONAL TECNICO</t>
  </si>
  <si>
    <t>45365378</t>
  </si>
  <si>
    <t>COTRINA NEIRA DEDICACION</t>
  </si>
  <si>
    <t>CRUZ MAMANI LUIS FERNANDO</t>
  </si>
  <si>
    <t>GEOFISICA</t>
  </si>
  <si>
    <t>BACHILLER EN GEOFISICA</t>
  </si>
  <si>
    <t>CUEVA CCORI REDI</t>
  </si>
  <si>
    <t>46997113</t>
  </si>
  <si>
    <t>CUEVA DIAZ KATHERINE MELISSA</t>
  </si>
  <si>
    <t>ADMINISTRACION DE NEGOCIOS INTERNACIONALES</t>
  </si>
  <si>
    <t xml:space="preserve">EGRESADA </t>
  </si>
  <si>
    <t>PRESIDENCIA DEL CONSEJO DIRECTIVO</t>
  </si>
  <si>
    <t>CUEVA QUESADA DE LIMACO MAGALY MARGARITA</t>
  </si>
  <si>
    <t>CUEVAS ALCALA CARLOS GERARDO</t>
  </si>
  <si>
    <t>TEC.DIBUJANTE</t>
  </si>
  <si>
    <t>TECNICO DIBUJANTE</t>
  </si>
  <si>
    <t>71522883</t>
  </si>
  <si>
    <t>CUNO BAYTA JUAN JOSE</t>
  </si>
  <si>
    <t>74376357</t>
  </si>
  <si>
    <t>DAMASIO JARA CELY ANDREA</t>
  </si>
  <si>
    <t>BACHILLER EN INGENIERIA DE SISTEMAS</t>
  </si>
  <si>
    <t>DE LA CRUZ YUPANQUI JUAN ALBERTO</t>
  </si>
  <si>
    <t>TECNICO EN GEOLOGIA MINERA Y EXPLORACIONES</t>
  </si>
  <si>
    <t>DEL CASTILLO HERRERA BORIS</t>
  </si>
  <si>
    <t>DEL POZO BEINGOLEA FERNANDO DANIEL</t>
  </si>
  <si>
    <t>DUEÑAS OLIVERA KAREN LIZZETH</t>
  </si>
  <si>
    <t>EGOAVIL ARANA JAVIER EDUARDO</t>
  </si>
  <si>
    <t>FERNANDEZ GERALDINO CARLOS NICOLAS</t>
  </si>
  <si>
    <t>BACHILLER EN GEOLOGIA</t>
  </si>
  <si>
    <t>71205666</t>
  </si>
  <si>
    <t>FERNANDEZ GUZMAN VICTOR ABRAHAM</t>
  </si>
  <si>
    <t>FLORES CARPIO EFRAIN</t>
  </si>
  <si>
    <t>FLORES CORNEJO GERMAN</t>
  </si>
  <si>
    <t>GAGLIUFFI ESPINOZA PEDRO MIGUEL</t>
  </si>
  <si>
    <t>GAMONAL SANCHEZ ABRAHAM</t>
  </si>
  <si>
    <t>GARCIA SAAVEDRA MARIA MALENI</t>
  </si>
  <si>
    <t>LICENCIADA EN SOCIOLOGIA</t>
  </si>
  <si>
    <t>GARRIAZO CARRASCO MANUEL FRANCISCO</t>
  </si>
  <si>
    <t>MECANICO</t>
  </si>
  <si>
    <t>GOMEZ CAHUAYA ELMER WILSON</t>
  </si>
  <si>
    <t>GOMEZ ROSARIO LUIS HUMBERTO</t>
  </si>
  <si>
    <t>GONZALES MOLINA VICTOR AUGUSTO</t>
  </si>
  <si>
    <t>GUERRERO MENDOZA LEYLA FLOR</t>
  </si>
  <si>
    <t>HERRERA CARDENAS SAMANTHA NAILEA</t>
  </si>
  <si>
    <t>INGENIERA GEOGRAFICA</t>
  </si>
  <si>
    <t>BACHILLER EN INGENIERIA GEOGRAFICA</t>
  </si>
  <si>
    <t>HERRERA NIZAMA JOSE MANUEL</t>
  </si>
  <si>
    <t>HUACHACA CHIPANE CLEBER</t>
  </si>
  <si>
    <t>48396370</t>
  </si>
  <si>
    <t>HUAMAN NIETO MELANIE JIMENA</t>
  </si>
  <si>
    <t>HUAMAN SINCHE JAVIER</t>
  </si>
  <si>
    <t>HUAMANI SALGUERON JHONATHAN</t>
  </si>
  <si>
    <t>HUANCA CALLA WILSON</t>
  </si>
  <si>
    <t>INGENIERIA</t>
  </si>
  <si>
    <t>45646526</t>
  </si>
  <si>
    <t>HUANCA CARDENAS JOSEPH BETO</t>
  </si>
  <si>
    <t>INGENIERA GEOFISICA</t>
  </si>
  <si>
    <t>72844601</t>
  </si>
  <si>
    <t>HUARI RAMIREZ ALFREDO MARCELO</t>
  </si>
  <si>
    <t>BACHILLER EN CONTABILIDAD</t>
  </si>
  <si>
    <t>HUARIPATA HURIPATA MARIELA</t>
  </si>
  <si>
    <t>HUAYTA CASTILLO MAGNA ESTEFANIA TEOFILA</t>
  </si>
  <si>
    <t>BACHILLER EN COMPUTACION CIENTIFICA</t>
  </si>
  <si>
    <t>HURTADO ENRIQUEZ CHRISTIAN AUGUSTO</t>
  </si>
  <si>
    <t>HURTADO JARA ENMA SUSANA</t>
  </si>
  <si>
    <t>HURTADO SUAREZ FREDY ELMER</t>
  </si>
  <si>
    <t>IBERICO BERNAOLA CHRISTIAN MANUEL</t>
  </si>
  <si>
    <t>DIRECCION DE CATASTRO</t>
  </si>
  <si>
    <t>INFANTE VIVAS EXDAR YAMIR</t>
  </si>
  <si>
    <t>BACHILLER EN INGENIERIA DE MINAS</t>
  </si>
  <si>
    <t>48194131</t>
  </si>
  <si>
    <t xml:space="preserve">IPARRAGUIRRE AYALA JOSHUA ER ADDI </t>
  </si>
  <si>
    <t>INGENIERIA AMBIENTAL Y DE RECURSOS NATURALES</t>
  </si>
  <si>
    <t>BACHILLER EN INGENIERIA AMBIENTAL Y DE RECURSOS NATURALES</t>
  </si>
  <si>
    <t>IQUIAPAZA TICONA EDID</t>
  </si>
  <si>
    <t>ISHPILCO CHUQUIMANGO SAUL</t>
  </si>
  <si>
    <t>IZQUIERDO QUINTEROS MANUEL</t>
  </si>
  <si>
    <t>ELECTRICISTA</t>
  </si>
  <si>
    <t>ELECTRICIDAD</t>
  </si>
  <si>
    <t>08085704</t>
  </si>
  <si>
    <t>JACAY HUARACHE JAVIER PABLO</t>
  </si>
  <si>
    <t>JAIME PAREJA LOURDES MEGUMI</t>
  </si>
  <si>
    <t>TRADUCCION E INERPRETACION</t>
  </si>
  <si>
    <t>LICENCIADA EN TRADUCCION E INTERPRETACION</t>
  </si>
  <si>
    <t>JIMENEZ SOLANO JOHN JAVIER</t>
  </si>
  <si>
    <t>25762404</t>
  </si>
  <si>
    <t>LAIME MOLINA MANUEL JESUS</t>
  </si>
  <si>
    <t>CIENCIAS BIOLOGICAS</t>
  </si>
  <si>
    <t>BACHILLER EN CIENCIAS BIOLOGICAS</t>
  </si>
  <si>
    <t xml:space="preserve">BACHILLER EN GEOLOGIA </t>
  </si>
  <si>
    <t>LAZO HUARUCO JUAN CARLOS</t>
  </si>
  <si>
    <t>74069046</t>
  </si>
  <si>
    <t>LEIVA SAUCEDO MARCO AURELIO</t>
  </si>
  <si>
    <t>LEON ACHON MANUEL ALEJANDRO</t>
  </si>
  <si>
    <t>LEON RODRIGUEZ JUAN JOSE ELIAS</t>
  </si>
  <si>
    <t>LINARES HUAPAYA JORGE ARMANDO</t>
  </si>
  <si>
    <t>46085581</t>
  </si>
  <si>
    <t>LLAMOCA SANCHEZ GERALDINE PAOLA</t>
  </si>
  <si>
    <t>LLANOS VILCA JORGE ALEJANDRO</t>
  </si>
  <si>
    <t>LOPEZ AGUILAR YERIKA PAMELA</t>
  </si>
  <si>
    <t>LOYOLA LOZANO MADELAINE FRANCHESCA</t>
  </si>
  <si>
    <t>LOZADA VALDIVIA VICTOR</t>
  </si>
  <si>
    <t>LUNA GUILLEN ANGEL GONZALO</t>
  </si>
  <si>
    <t>07929539</t>
  </si>
  <si>
    <t>LUYO VELIT GUSTAVO ADOLFO</t>
  </si>
  <si>
    <t>ING. MINAS</t>
  </si>
  <si>
    <t>INGENIERO DE MINAS</t>
  </si>
  <si>
    <t>LUZA HUILLCA CARLOS ALBERTO</t>
  </si>
  <si>
    <t>MACHACA MAYTA YESENIA FLORA</t>
  </si>
  <si>
    <t>MACHACA SARDON CRISTIAN MIGUEL</t>
  </si>
  <si>
    <t>MARIN FLORES LUIS ENRIQUE</t>
  </si>
  <si>
    <t>EGRESADO DE CONTABILIDAD</t>
  </si>
  <si>
    <t>MARISCAL BEGAZO AUGUSTO CARLOS</t>
  </si>
  <si>
    <t>MARTINEZ MARTINEZ JUAN ROBERTO</t>
  </si>
  <si>
    <t>MECHATO MENDOZA JENIFFER MARIA</t>
  </si>
  <si>
    <t>ESTUDIANTE DE INGENIERIA INDUSTRIAL</t>
  </si>
  <si>
    <t>MEDINA MARTINEZ MANUEL FRANCISCO</t>
  </si>
  <si>
    <t>ESTUDIANTE CONTABILIDAD</t>
  </si>
  <si>
    <t>MELENDEZ TALAVERANO CESAR</t>
  </si>
  <si>
    <t>MENA RAMIREZ EDY EDGAR</t>
  </si>
  <si>
    <t>EDUCACION- BIOLOGIA Y QUIMICA</t>
  </si>
  <si>
    <t>BACHILLER EN EDUCACION</t>
  </si>
  <si>
    <t>MENDOZA BAZAN ELTON JOHN</t>
  </si>
  <si>
    <t>SEC. COMPLETA</t>
  </si>
  <si>
    <t>MENDOZA GALOC DIEGO AUGUSTO</t>
  </si>
  <si>
    <t>QUIMICA E INGENIERIA QUIMICA</t>
  </si>
  <si>
    <t>MERCADO PACCO MILTON ALEXANDRO</t>
  </si>
  <si>
    <t>MEZA ROBLES KATHERINE HELLEN</t>
  </si>
  <si>
    <t>TRADUCTORA</t>
  </si>
  <si>
    <t>EGRESADA DE TRADUCCION E INTERPRETACION</t>
  </si>
  <si>
    <t>MONTAÑO ROJAS MARIA ALEJANDRA</t>
  </si>
  <si>
    <t>07757502</t>
  </si>
  <si>
    <t>MONTEAGUDO ZUÑIGA JOSE CARLOS</t>
  </si>
  <si>
    <t>MONTES AYALA SARITA DARLY</t>
  </si>
  <si>
    <t xml:space="preserve">MONTOYA ANTAURCO EDER JONATHAN </t>
  </si>
  <si>
    <t>MORALES CESPEDES EDWARD ERIC</t>
  </si>
  <si>
    <t>INGENIERIO DE SISTEMAS</t>
  </si>
  <si>
    <t>07831914</t>
  </si>
  <si>
    <t>MORENO SANCHEZ ROLANDO HENRY</t>
  </si>
  <si>
    <t>NEYRA VELIZ DANTE DARIO</t>
  </si>
  <si>
    <t>LIC. CONTABILIDAD</t>
  </si>
  <si>
    <t>NUÑEZ PEREDO MAURICIO ANTONIO</t>
  </si>
  <si>
    <t>OJEDA CHULLA HAMMER LOU</t>
  </si>
  <si>
    <t>OLASCOAGA VASQUEZ DIOGENES</t>
  </si>
  <si>
    <t>06085689</t>
  </si>
  <si>
    <t>OLIVARES BALLENA PEDRO ANTONIO</t>
  </si>
  <si>
    <t>ORDOÑEZ LOPEZ ELIZABETH KATIA</t>
  </si>
  <si>
    <t>MASTER EN PALEOMTOLOGIA AVANZADA</t>
  </si>
  <si>
    <t>OROZCO YAULLI YNGRID GREYSI</t>
  </si>
  <si>
    <t>ORTEGA SILVA EDWIN RIVELINO</t>
  </si>
  <si>
    <t>INGENIRIA QUIMICA</t>
  </si>
  <si>
    <t>OSCCO ALDAZABAL NANCY</t>
  </si>
  <si>
    <t>INGENIERO AGRONOMO</t>
  </si>
  <si>
    <t>PACOMPIA TIÑA LUIS ANGEL</t>
  </si>
  <si>
    <t>PAJUELO APARICIO DIANA</t>
  </si>
  <si>
    <t>07755838</t>
  </si>
  <si>
    <t>PAJUELO RAMOS WILMER</t>
  </si>
  <si>
    <t>44395960</t>
  </si>
  <si>
    <t>PALOMINO NUÑEZ DEL PRADO CESAR AUGUSTO</t>
  </si>
  <si>
    <t>INGENIERO DE SISTEMAS Y COMPUTO</t>
  </si>
  <si>
    <t>PALOMINO TACURI ANDERSON RAFAEL</t>
  </si>
  <si>
    <t>45120970</t>
  </si>
  <si>
    <t>PALPA IGREDA NIDDIA MARIBEL</t>
  </si>
  <si>
    <t>GEOLOGA</t>
  </si>
  <si>
    <t>BACHILLER EN CIENCIAS INGENIERIA GEOLÓGICA</t>
  </si>
  <si>
    <t>PAREDES LUNA ROCIO DEL CARMEN</t>
  </si>
  <si>
    <t>PAREDES SILVERA JULISA MERCEDES</t>
  </si>
  <si>
    <t>MAESTRA EN CONTABILIDAD Y FINANZAS</t>
  </si>
  <si>
    <t>PARIA FERNANDEZ EDISON GREGORIO</t>
  </si>
  <si>
    <t>BACHILLER EN INFORMATICA Y SISTEMAS</t>
  </si>
  <si>
    <t>PATIÑO GUTIERREZ CARMEN</t>
  </si>
  <si>
    <t>42755479</t>
  </si>
  <si>
    <t>PAXI ZAMALLOA ROSARIO SHOMARA</t>
  </si>
  <si>
    <t>PAZCE CASTILLO AYRTON RUSEL</t>
  </si>
  <si>
    <t>EGRESADO EN INGENIERIA GEOLOGICA</t>
  </si>
  <si>
    <t>46261165</t>
  </si>
  <si>
    <t>PEREZ CORDOVA ROALD</t>
  </si>
  <si>
    <t>CURSOS DE ESPECIALIZACION</t>
  </si>
  <si>
    <t>PINEDO RODRIGUEZ ANDERSON</t>
  </si>
  <si>
    <t>PONCE CIRIACO JORGE CIPRIANO</t>
  </si>
  <si>
    <t>POSADAS GONZALES WALTER ARTURO</t>
  </si>
  <si>
    <t>PRUDENCIO MENDOZA DAVID REYNALDO</t>
  </si>
  <si>
    <t>72513760</t>
  </si>
  <si>
    <t>PUEMAPE PASAPERA CARLOS ALEJANDRO</t>
  </si>
  <si>
    <t>PUMA JUSCAMAYTA YOSELYN BEATRIZ</t>
  </si>
  <si>
    <t>LIC. ADMINISTRACION</t>
  </si>
  <si>
    <t>QUILCA HUANCA ANTHONY ALEX</t>
  </si>
  <si>
    <t>QUISPE ARREDONDO ROSA ANGELICA</t>
  </si>
  <si>
    <t>CIENCIAS DE LA COMUNICACIÓN</t>
  </si>
  <si>
    <t>QUISPE CANGANA JORGE LUIS</t>
  </si>
  <si>
    <t>01341768</t>
  </si>
  <si>
    <t>QUISPE MAMANI EDITH NOE</t>
  </si>
  <si>
    <t>06209865</t>
  </si>
  <si>
    <t>QUISPE OCAS SANTIAGO</t>
  </si>
  <si>
    <t xml:space="preserve">PERIODISMO </t>
  </si>
  <si>
    <t>QUISPE PEREZ MEDALIT GABRIELA</t>
  </si>
  <si>
    <t>09730464</t>
  </si>
  <si>
    <t>QUISPE SANTA MARIA OSCAR ALDO</t>
  </si>
  <si>
    <t>LICENCIADO EN COMPUTACION</t>
  </si>
  <si>
    <t>QUISPE TORRES FRANZ ADAN NILSON</t>
  </si>
  <si>
    <t>ESTUDIOS TECNICO EN EL EXTRANJERO</t>
  </si>
  <si>
    <t>QUISPE VALENCIA JUAN CARLOS</t>
  </si>
  <si>
    <t>40925247</t>
  </si>
  <si>
    <t>RAMIREZ CARRION JOSE FABRICIO</t>
  </si>
  <si>
    <t>RAMIREZ TALAVERA KATERIN MIRELLA</t>
  </si>
  <si>
    <t>ING.GEOLOGA</t>
  </si>
  <si>
    <t>06707892</t>
  </si>
  <si>
    <t>RAMIREZ YATACO SANTOS LEONOR</t>
  </si>
  <si>
    <t>70377339</t>
  </si>
  <si>
    <t>RAMOS APAZA DANITZA GABRIELA</t>
  </si>
  <si>
    <t>RAMOS CASTRO PATRICIA KATHERINE</t>
  </si>
  <si>
    <t>RAMOS FIGUEROA JUAN ALBERT</t>
  </si>
  <si>
    <t>RAMOS SILVA EDINSON YOSSIMAR</t>
  </si>
  <si>
    <t>09744734</t>
  </si>
  <si>
    <t>RAYMUNDO SALGADO TITO</t>
  </si>
  <si>
    <t>RODRIGUEZ HUERTA RONALD ROBERTO</t>
  </si>
  <si>
    <t>TENCNICO</t>
  </si>
  <si>
    <t>CAPÁCITACIONES EN MANTENIMIENTO DIVERSOS</t>
  </si>
  <si>
    <t>RODRIGUEZ ZELADA ERICK</t>
  </si>
  <si>
    <t>PROFESIONAL TECNICO EN DISEÑO GRAFICO</t>
  </si>
  <si>
    <t>ROJAS GORMAS DINA YDELIA</t>
  </si>
  <si>
    <t>CONTADORA</t>
  </si>
  <si>
    <t>ROMERO FERNANDEZ DARWIN</t>
  </si>
  <si>
    <t>46461066</t>
  </si>
  <si>
    <t>ROMERO ROJAS MARIO ALEJANDRO</t>
  </si>
  <si>
    <t>07206997</t>
  </si>
  <si>
    <t>ROSAS CASUSOL MANUEL MARTIN</t>
  </si>
  <si>
    <t>ROSAS SANTISTEBAN EDUARDO</t>
  </si>
  <si>
    <t>RUIZ ARAUJO CESAR ANTONIO</t>
  </si>
  <si>
    <t>CAPACITACONES EN ARCHIVO</t>
  </si>
  <si>
    <t>45556768</t>
  </si>
  <si>
    <t>RUIZ VILLANUEVA ANABEL JOHANA</t>
  </si>
  <si>
    <t>CIENCIAS ADMINISTRATIVAS Y GESTION DE EMPRESAS</t>
  </si>
  <si>
    <t>BACHILLER EN CIENCIAS ADMINISTRATIVAS Y GESTION DE EMPRESAS</t>
  </si>
  <si>
    <t>SALAS VASQUEZ ANNY EDILA</t>
  </si>
  <si>
    <t>SALGADO UCEDA KELLY OLIVIA</t>
  </si>
  <si>
    <t>SALINAS ROMERO RUBEN CARLOS</t>
  </si>
  <si>
    <t>SAN MARTIN GARCIA DE BERROSPI MARIA LOURDES</t>
  </si>
  <si>
    <t>74544453</t>
  </si>
  <si>
    <t>SANCHEZ CAMACHO AUGUSTO FABRIZZIO</t>
  </si>
  <si>
    <t>08980437</t>
  </si>
  <si>
    <t>SANCHEZ FERNANDEZ AGAPITO WILFREDO</t>
  </si>
  <si>
    <t>SANCHEZ PALACIOS WALTER ALEJANDRO</t>
  </si>
  <si>
    <t>SANCHEZ TORRES NELDY PAOLA</t>
  </si>
  <si>
    <t>07155338</t>
  </si>
  <si>
    <t>SANCHEZ YZQUIERDO JOSE</t>
  </si>
  <si>
    <t>SANTOS PAREDES IVAN MESIAS</t>
  </si>
  <si>
    <t>SENA CARHUAMACA NATHALLY YAZMIN</t>
  </si>
  <si>
    <t>SERNA DIAZ CINDY YENIFFER</t>
  </si>
  <si>
    <t>SIANCAS GIRON LIZBETH</t>
  </si>
  <si>
    <t>SILVA RIJALVA CARLOS ENRIQUE</t>
  </si>
  <si>
    <t>72566659</t>
  </si>
  <si>
    <t>SILVA VERA MILAGROS</t>
  </si>
  <si>
    <t>PSICOLOGA ORGANIZACIONAL</t>
  </si>
  <si>
    <t>SOLARI CALZADO JHOSSELIN MILAGROS</t>
  </si>
  <si>
    <t>SONCCO CALSINA YHON HIDELVER</t>
  </si>
  <si>
    <t>SUAREZ ARANA AYRTON</t>
  </si>
  <si>
    <t>SUASNABAR BALBIN ALEJANDRO</t>
  </si>
  <si>
    <t>EGRESADO INGENIERIA GEOLOGICA</t>
  </si>
  <si>
    <t>48006949</t>
  </si>
  <si>
    <t>SULCA HUIPER TANIA JENNIFER</t>
  </si>
  <si>
    <t>SULLAIME FERNANDEZ NORKA DAYANA</t>
  </si>
  <si>
    <t>SECREATRIA</t>
  </si>
  <si>
    <t>07376659</t>
  </si>
  <si>
    <t>TAPIA FLORES JULIAN SILVANO</t>
  </si>
  <si>
    <t>TARAMONA CUBAS CARLOS ALEXIS</t>
  </si>
  <si>
    <t>ESTUDIANTE UNIVERSITARIO</t>
  </si>
  <si>
    <t>TAVARA ZAPATA JULIO PAUL</t>
  </si>
  <si>
    <t xml:space="preserve">CONTADOR </t>
  </si>
  <si>
    <t>TAYPE AMANCAY JOSE LUIS</t>
  </si>
  <si>
    <t>BACHILLER EN QUIMICA</t>
  </si>
  <si>
    <t>47525901</t>
  </si>
  <si>
    <t>TELLO TORRES OLGA DANIELLA</t>
  </si>
  <si>
    <t>09178715</t>
  </si>
  <si>
    <t>TEVES RIVAS NESTOR ALFONSO</t>
  </si>
  <si>
    <t>DOCTOR EN CIENCIAS -SECCION EN GEOLOGIAS</t>
  </si>
  <si>
    <t>TICA MAMANI SANDRA MARIBEL</t>
  </si>
  <si>
    <t>TICONA CCARI ADRIANA</t>
  </si>
  <si>
    <t>TITO GARCIA VERONICA</t>
  </si>
  <si>
    <t>103988051</t>
  </si>
  <si>
    <t>TORRES CARDENAS ALEXANDER</t>
  </si>
  <si>
    <t>ING.SISTEMAS</t>
  </si>
  <si>
    <t>07219691</t>
  </si>
  <si>
    <t>TORRES GUERRA JESUS ALBERTO</t>
  </si>
  <si>
    <t>TRIVEÑO WONG LIZ ANDREA MARIA</t>
  </si>
  <si>
    <t>TTITO HUAMAN YENSON</t>
  </si>
  <si>
    <t>VALDERA PERALTA MARCO ANTONIO</t>
  </si>
  <si>
    <t>VALDIVIA HUMEREZ DAVID ANTONIO</t>
  </si>
  <si>
    <t>BACHILLER INGENIERIA GEOLOGICA, MINAS Y METALURGICA</t>
  </si>
  <si>
    <t>23947137</t>
  </si>
  <si>
    <t>VALENCIA CARDENAS KIKO HAROLD</t>
  </si>
  <si>
    <t>VALGA SILUPU JEMINA ELIZABETH</t>
  </si>
  <si>
    <t>VALVERDE MEJIA EDDY</t>
  </si>
  <si>
    <t>VASQUEZ GUEVARA JHOISY JANETH</t>
  </si>
  <si>
    <t>VELA SORIA YESSICA SONIA</t>
  </si>
  <si>
    <t>VELASQUEZ ALAYO MERY LESLY</t>
  </si>
  <si>
    <t>EGRESADA</t>
  </si>
  <si>
    <t>MAESTRIA EN GERENCIA SOCIAL Y RECURSOS HUMANOS</t>
  </si>
  <si>
    <t>VELAZCO ARGUEDAS ORNELLA MARGARITA</t>
  </si>
  <si>
    <t>TECNICO EN ADMINISTRACION</t>
  </si>
  <si>
    <t>VERA GUTIERREZ JOSE ALAN</t>
  </si>
  <si>
    <t>TECNICOS EN COMPUTACION</t>
  </si>
  <si>
    <t>47945008</t>
  </si>
  <si>
    <t>VIGO BECERRA LADY DIANA</t>
  </si>
  <si>
    <t>10321861</t>
  </si>
  <si>
    <t>VILCA NEIRA CESAR JESUS</t>
  </si>
  <si>
    <t>07397189</t>
  </si>
  <si>
    <t>VILCHEZ RODRIGUEZ LILIANA INES</t>
  </si>
  <si>
    <t>VILLAFUERTE URQUIZO LUIS JAIR</t>
  </si>
  <si>
    <t>VILLANTOY ECHEGARAY ANGELA</t>
  </si>
  <si>
    <t>VIZCARRA PACCO OMAR MILTON</t>
  </si>
  <si>
    <t>YACHAS CARBAJAL YENIFER JUDITH</t>
  </si>
  <si>
    <t>YALI SAMANIEGO ROY MARCO</t>
  </si>
  <si>
    <t>ING.GEOLOGICO</t>
  </si>
  <si>
    <t>YSIDRO TORRES PILAR CECILIA</t>
  </si>
  <si>
    <t>ADMINISTADORA</t>
  </si>
  <si>
    <t>YUASA GONZALES ROBERTO JOSEPH</t>
  </si>
  <si>
    <t>ADMINISTRACIN DE EMPREAS</t>
  </si>
  <si>
    <t>ADMINISTRADOR DE EMPRESAS</t>
  </si>
  <si>
    <t>ZAMBRANO CIEZA KARLA FAVIOLA</t>
  </si>
  <si>
    <t>ZAVALETA PAREDES ANTHONY WILSON</t>
  </si>
  <si>
    <t>10609936</t>
  </si>
  <si>
    <t>ZEGARRA LOO JUAN ANTONIO</t>
  </si>
  <si>
    <t>PLIEGO 221:  INSTITUTO GEOLÓGICO MINERO Y METALURGICO</t>
  </si>
  <si>
    <t>TOTAL CAS + AUTONOMO</t>
  </si>
  <si>
    <t>CONTRATO DE SERVICIO AUTONOMO</t>
  </si>
  <si>
    <t>VACACIONES TRUNCAS</t>
  </si>
  <si>
    <t>VACACIONES TRUNCAS, ESSALUD CAS, OTROS</t>
  </si>
  <si>
    <t>AÑO FISCAL 2020 (*)</t>
  </si>
  <si>
    <t>AÑO FISCAL 2019</t>
  </si>
  <si>
    <t>1. ADQUISICION DE UNIFORME DE VERANO PARA LOS TRABAJADORES DAMAS Y VARONES DEL MINISTERIO DE ENERGIA Y MINAS</t>
  </si>
  <si>
    <t>PROCEDIMIENTO</t>
  </si>
  <si>
    <t>LP-SM-1-2019-MINEM-1</t>
  </si>
  <si>
    <t>COMPAÑIA DE SERVICIOS GENERALES A.G.P. S.A.C./ SAMITEX SA</t>
  </si>
  <si>
    <t>ADJUDICADO</t>
  </si>
  <si>
    <t>2. ADQUISICION DE ACCESORIOS PARA LOS UNIFORMES DE VERANO PARA LOS TRABAJADORES DAMAS Y VARONES DEL MINISTERIO DE ENERGIA Y MINAS</t>
  </si>
  <si>
    <t>AS-SM-36-2019-MINEM-1</t>
  </si>
  <si>
    <t>INDUSTRIAL ZAYMA S.A.C./ ORPORACION MARIANO EXPORTADOR DE CALZADO FINO S.A.C - MARFIC S.A.C/ G &amp; F CUEROS Y DERIVADOS SOCIEDAD ANONIMA CERRADA - G &amp; F CUEROS Y DERIVADOS S.A.C.</t>
  </si>
  <si>
    <t>3. SERVICIO DE CONSULTORIA PARA EL DESARROLLO DE LOS NUEVOS ANEXOS DEL REGLAMENTO TECNICO SOBRE EL ETIQUETADO DE EFICIENCIA ENERGETICA PARA EQUIPOS ENERGETICOS</t>
  </si>
  <si>
    <t>AS-SM-6-2019-MEM-3</t>
  </si>
  <si>
    <t xml:space="preserve"> ESYCOMP S.A.C</t>
  </si>
  <si>
    <t>4. SERVICIO DE CONSULTORIA PARA DESARROLLAR UN PROGRAMA DE ETIQUETADO DE EFICIENCIA ENERGETICA EN VEHICULOS LIVIANOS Y TAXIS</t>
  </si>
  <si>
    <t>AS-SM-7-2019-MEM-1</t>
  </si>
  <si>
    <t>FONDO NACIONAL DEL AMBIENTE</t>
  </si>
  <si>
    <t>5. SUMINISTRO DE ALIMENTOS Y BEBIDAS PARA EL CONSUMO HUMANO PARA LAS DIFERENTES AREAS DEL MINISTERIO DE ENERGIA Y MINAS</t>
  </si>
  <si>
    <t>AS-SM-1-2019-MEM-1</t>
  </si>
  <si>
    <t>QUINTO DAMIAN HERMANOS S.A.C</t>
  </si>
  <si>
    <t>6. SUMINISTRO DE COMBUSTIBLE GAS LICUADO DE PETROLEO (GLP)</t>
  </si>
  <si>
    <t>AS-SM-13-2019-MEM-2</t>
  </si>
  <si>
    <t>OPERADORES DE ESTACIONES S.A.C.</t>
  </si>
  <si>
    <t>7. CONTRATACION DE SEGUROS PERSONALES Y PATRIMONIALES PARA EL MINISTERIO DE ENERGIA Y MINAS</t>
  </si>
  <si>
    <t>CONCURSO PÚBLICO</t>
  </si>
  <si>
    <t>CP-SM-8-2019-MINEM-1</t>
  </si>
  <si>
    <t>MAPFRE PERU COMPAÑIA DE SEGUROS Y REASEGUROS S.A. /  RIMAC SEGUROS Y REASEGUROS</t>
  </si>
  <si>
    <t xml:space="preserve">8. SERVICIO DE MENSAJERÍA EXTERNA A NIVEL LOCAL Y NACIONAL PARA EL MINISTERIO DE ENERGÍA Y MINAS </t>
  </si>
  <si>
    <t>CP-SM-1-2019-MEM-1</t>
  </si>
  <si>
    <t>OLVA COURIER S.A.C</t>
  </si>
  <si>
    <t>9. SERVICIO DE ALQUILER DE SALÓN Y CATERING PARA EVENTO CEO LUNCHEON EN EL MARCO DEL EVENTO INTERNACIONAL PDAC 2019</t>
  </si>
  <si>
    <t>CONTRATACIÓN INTERNACIONAL</t>
  </si>
  <si>
    <t>INTER-PROC-4-2019-MEM-1</t>
  </si>
  <si>
    <t>THE RITZ CARLTON HOTEL COMPANY OF CANADA LIMITED</t>
  </si>
  <si>
    <t>10. SERVICIO DE ALQUILER DE SALÓN DE REUNIONES Y CATERING PARA EL EVENTO PERUVIAN COCKTAIL EN EL MARCO DEL EVENTO INTERNACIONAL PDAC 2019</t>
  </si>
  <si>
    <t>INTER-PROC-5-2019-MEM-1</t>
  </si>
  <si>
    <t xml:space="preserve"> LUXURY HOTELS INTERNATIONAL OF CANADA ULC (DELTA TORONTO)</t>
  </si>
  <si>
    <t>11. SERVICIO DE ALQUILER DE EQUIPOS DE AUDIO Y VIDEO PARA LAS ACTIVIDADES DEL PROGRAMA Y CONFERENCIAS PERUANAS EN EL MARCO DEL EVENTO PDAC 2019</t>
  </si>
  <si>
    <t>INTER-PROC-6-2019-MEM-1</t>
  </si>
  <si>
    <t>FREEMAN AUDIO VISUAL CANADA</t>
  </si>
  <si>
    <t xml:space="preserve">12. SUMINISTRO DE PAPELERÍA, ÚTILES Y MATERIALES DE OFICINA </t>
  </si>
  <si>
    <t>COMPRAS POR CATÁLOGO (CONVENIO MARCO)</t>
  </si>
  <si>
    <t>ACUERDO MARCO</t>
  </si>
  <si>
    <t>O.C N°84-2019 / 106-2019 / 111-2019 / 459-2019 / 460-2019 / 461-2019 / 462-2019</t>
  </si>
  <si>
    <t>LINKWORKS S.A.C / COMERCIAL GIOVA S.A / WINLI S.A.C / IMPORTACIONES MEGA CHAMBI S.A.C</t>
  </si>
  <si>
    <t>11/03/2019 - 25/03/2019 - 01/04/2019 - 20/12/2019 - 20/12/2019 - 20/12/2019 - 20/12/2019</t>
  </si>
  <si>
    <t>15/03/2019 -02/04/2019 - 08/04/2019 - 30/12/2019 - 27/12/2019 - 26/12/2019 - 30/12/2019</t>
  </si>
  <si>
    <t>13. ADQUISICIÓN DE REPUESTOS Y ACCESORIOS</t>
  </si>
  <si>
    <t>O.C N°45-2019/ 46-2019 / 140-2019 /379-2019 / 344-2019 / 345-2019</t>
  </si>
  <si>
    <t xml:space="preserve">CIBER COMPUTOS S.A.C./ OFFIMAAC ELECTRONICS E.I.R.L. / CIBER COMPUTOS S.A.C.    </t>
  </si>
  <si>
    <t>1502/2019  - 15/02/2019 - 29/04/2019 -  14/11/2019 - 21/10/2019 - 21/10/2019</t>
  </si>
  <si>
    <t>22/03/2019 - 2102/2019  -  06/05/2019 - 20/11/2019 - 25/10/2019 - 25/10/2019</t>
  </si>
  <si>
    <t>14. SUSCRIPCIÓN BASE DE DATOS ESPECIALIZADOS EN ESTUDIOS ECONOMICOS DE COBRE A NIVEL MUNDIAL (COSTOS Y DATOS DE OPERACIONES Y PROYECTOS DE COBRE, PROYECCIÓN DE OFERTA, DEMANDA Y PRECIOS A CORTO, MEDIANO Y LARGO PLAZO, ASÍ COMO PRODUCCIÓN Y CONSUMO</t>
  </si>
  <si>
    <t>INTER-PROC-7-2019-MEM-1</t>
  </si>
  <si>
    <t>WOOD MACKENZIE INC</t>
  </si>
  <si>
    <t>15. SERVICIO DE TELEFONÍA FIJA Y LINEA 0800 PARA EL MINISTERIO DE ENERGÍA Y MINAS</t>
  </si>
  <si>
    <t>AS-SM-2-2019-MEM-1</t>
  </si>
  <si>
    <t>AMERICA MOVIL PERU S.A.C.</t>
  </si>
  <si>
    <t>16. SERVICIO DE DEFENSA Y ASESORÍA LEGAL A FAVOR DE LA SEÑOR TERESA YSABEL MACAYO MARIN</t>
  </si>
  <si>
    <t>CONTRATACIÓN DIRECTA</t>
  </si>
  <si>
    <t>DIRECTA-PROC-1-2019-MEM-1</t>
  </si>
  <si>
    <t>INGA MARIN BORIS</t>
  </si>
  <si>
    <t>17. ADQUISICIÓN DE TAPAS Y CONTRATAPAS PARA LOS EXPEDIENTES DEL ARCHIVO CENTRAL DEL MINISTERIO DE ENERGÍA Y MINAS</t>
  </si>
  <si>
    <t>AS-SM-3-2019-MEM-1</t>
  </si>
  <si>
    <t>IMPRESOS S.R.L.</t>
  </si>
  <si>
    <t>18. SERVICIO DE CONSULTORÍA PARA EL INVENTARIO DE RECURSOS DE HIDROCARBUROS - 2018</t>
  </si>
  <si>
    <t>AS-SM-5-2019-MEM-1</t>
  </si>
  <si>
    <t>GESTUM TOTAL E.I.R.L.</t>
  </si>
  <si>
    <t>19. ADQUISICIÓN DE CAJAS DE ARCHIVO PARA LA CUSTODIA DE DOCUMENTOS DEL ARCHIVO CENTRAL</t>
  </si>
  <si>
    <t>AS-SM-4-2019-MEM-1</t>
  </si>
  <si>
    <t>INGENIERIA EN CARTONES Y PAPELES S.A.C</t>
  </si>
  <si>
    <t>20. SERVICIO DE CONSULTORÍA PARA LA IDENTIFICACIÓN Y PROPUESTA DE PROYECTOS ESTÁNDAR DE DISTRIBUCIÓN ELÉCTRICA</t>
  </si>
  <si>
    <t>AS-SM-11-2019-MEM-2</t>
  </si>
  <si>
    <t>CONSULTORES PARA DECISIONES ESTRATEGICAS SOCIEDAD ANONIMA CERRADA</t>
  </si>
  <si>
    <t>21. SERVICIO DE ENTREGA DE CUPONES O VALES POR CONCEPTO DE ALIMENTOS PARA LOS SERVIDORES CIVILES DEL MINISTERIO DE ENERGÍA Y MINAS</t>
  </si>
  <si>
    <t>AS-SM-12-2019-MEM-1</t>
  </si>
  <si>
    <t>PERUANA DE VALES Y DOCUMENTOS S.A.C.</t>
  </si>
  <si>
    <t>22. SERVICIO DE INTERNET CORPORATIVO PARA EL MINISTERIO DE ENERGÍA Y MINAS</t>
  </si>
  <si>
    <t>AS-SM-10-2019-MEM-1</t>
  </si>
  <si>
    <t>23. ASESORÍA LEGAL ESPECIALIZADA EN LOS ARBITRAJES INICIADOS EN LOS MARCOS DE LOS CONTRATOS DE CONCESIÓN RER</t>
  </si>
  <si>
    <t>DIRECTA-PROC-2-2019-MEM-1</t>
  </si>
  <si>
    <t>ESTUDIO ROSSELLO SOC. CIVIL DE RESP.LTDA</t>
  </si>
  <si>
    <t>INDETERMINADO</t>
  </si>
  <si>
    <t>24. SERVICIO DE CAMBIO DE COBERTURA DE TECHO EN LOS AMBIENTES DE LOS ARCHIVOS DEL LOCAL YANACOTO DEL MINISTERIO DE ENERGÍA Y MINAS</t>
  </si>
  <si>
    <t>AS-SM-14-2019-MEM-1</t>
  </si>
  <si>
    <t>EMPRESA CONSTRUCTORA Y MULTISERVICIOS DJRR E.I.R.L.</t>
  </si>
  <si>
    <t>25. ADQUISICIÓN DE EQUIPAMIENTO DE SEGURIDAD PERIMETRAL (FIREWALL) PARA EL MINISTERIO DE ENERGÍA Y MINAS</t>
  </si>
  <si>
    <t>AS-SM-15-2019-MEM-3</t>
  </si>
  <si>
    <t>SMART GLOBAL SOCIEDAD ANONIMA CERRADA</t>
  </si>
  <si>
    <t>26. SERVICIO DE CAMPAÑA DEMOSTRATIVA SOBRE EL USO EFICIENTE DE LA ENERGÍA 2019</t>
  </si>
  <si>
    <t>AS-SM-18-2019-MEM-1</t>
  </si>
  <si>
    <t>SEÑOR MATIAS S.A.C.</t>
  </si>
  <si>
    <t xml:space="preserve">27. SERVICIO DE CONSULTORÍA PARA EVALUAR LA IMPLEMENTACIÓN DE CENTRALES SOLARES CONCENTRADAS EN EL PERÚ Y MECANISMOS DE PROMOCIÓN. </t>
  </si>
  <si>
    <t>CP-SM-2-2019-MEM-1</t>
  </si>
  <si>
    <t>CONSULTORES SUPERVISORES Y ASESORES NACIONALES S.A.C.</t>
  </si>
  <si>
    <t>28. PANTALLA INTERACTIVA DE 80 PULGADAS</t>
  </si>
  <si>
    <t>O.C N°331-2019</t>
  </si>
  <si>
    <t>CIBER COMPUTOS S.A.C</t>
  </si>
  <si>
    <t>29. ADQUISICIÓN DE SILLAS ERGONÓMICAS PARA PERSONAL DEL MEM</t>
  </si>
  <si>
    <t>O.C N°308-2019</t>
  </si>
  <si>
    <t xml:space="preserve">IMPORTACIONES MEGA CHAMBI S.A.C.   </t>
  </si>
  <si>
    <t>30. ELABORACIÓN DEL SEGUNDO ESTUDIO DE TRANSPARENCIA REGIONAL DE LA INICIATIVA EITI PARA LA REGIÓN APURIMAC 2018</t>
  </si>
  <si>
    <t>CONVENIO</t>
  </si>
  <si>
    <t>CONV-PROC-1-2019-MINEM-1</t>
  </si>
  <si>
    <t>RIVERA CASAMAYOR JUAN GABRIEL</t>
  </si>
  <si>
    <t>21/82019</t>
  </si>
  <si>
    <t>31. SERVICIO DE DEFENSA LEGAL A FAVOR DE LA SRA. ELDA PATRICIA DÍAZ GAZZOLO</t>
  </si>
  <si>
    <t>DIRECTA-PROC-3-2019-MINEM-1</t>
  </si>
  <si>
    <t xml:space="preserve"> ESTUDIO LINARES ABOGADOS S.CIV.R.L.</t>
  </si>
  <si>
    <t>32. SERVICIO DE CONSULTORIA PARA LA ELABORACIÓN DE UNA DIRECTIVA QUE ESTABLEZCA LOS LINEAMIENTOS PARA LA EVALUACIÓN DEL USO EFICIENTE DEL RECURSO HÍDRICO QUE CONSIDERE LA MÁXIMA CAPACIDAD DE GENERACIÓN ELÉCTRICA Y PRIVILEGIA EL APROVECHAMIENTO HIDROENERGÉTICO ÓPTIMO DE LA CUENCA HIDROGRÁFICA DE INTERÉS CONSIDERANDO CRITERIOS TÉCNICOS ECONÓMICOS Y AMBIENTALES.</t>
  </si>
  <si>
    <t>AS-SM-20-2019-MINEM-1</t>
  </si>
  <si>
    <t>ASESORES Y CONSULTORES EN MERCADO DE ENERGIA S.A.C. - ACM ENERGIA SAC</t>
  </si>
  <si>
    <t>33. SERVICIO DE ASISTENCIA TÉCNICA EN LA ELABORACIÓN DE INSTRUMENTOS DE GESTIÓN AMBIENTAL PARA LA FORMALIZACIÓN DE ACTIVIDADES DE PEQUEÑA MINERÍA Y MINERÍA ARTESANAL (IGAFOM) Y EXPEDIENTE TÉCNICO EN EL MARCO DEL PROCESO DE FORMALIZACIÓN MINERA INTEGRA EN LA REGIÓN DE MADRE DE DIOS</t>
  </si>
  <si>
    <t>CP-SM-3-2019-MINEM-1</t>
  </si>
  <si>
    <t>34. SERVICIO DE CATERING PARA EL ENCUENTRO Y EXPOSICIÓN MUNDIAL DE ENERGÍAS RENOVABLES SUN WORLD 2019</t>
  </si>
  <si>
    <t>AS-SM-28-2019-MINEM-1</t>
  </si>
  <si>
    <t>A.W.CORPORATION S.A.C.</t>
  </si>
  <si>
    <t>35. SERVICIO DE MULTIMEDIA PARA EL ENCUENTRO Y EXPOSICIÓN MUNDIAL DE ENERGÍAS RENOVABLES SUN WORLD 2019</t>
  </si>
  <si>
    <t>AS-SM-25-2019-MINEM-1</t>
  </si>
  <si>
    <t>MELVI S.A.C</t>
  </si>
  <si>
    <t>36. ADQUISICIÓN DE MATERIAL EDUCATIVO PARA DIFUSIÓN SOBRE EFICIENCIA ENERGÉTICA</t>
  </si>
  <si>
    <t>AS-SM-24-2019-MINEM-1</t>
  </si>
  <si>
    <t>MERCEDES GROUP SOCIEDAD ANONIMA CERRADA</t>
  </si>
  <si>
    <t>37. SERVICIO DE IMPLEMENTACIÓN DEL SISTEMA DE CABLEADO ESTRUCTURADO PARA LOS AMBIENTES DEL GABINETE DE ASESORES, OFICINA DE IMAGEN INSTITUCIONAL Y COMUNICACIONES Y SALAS DE USOS MULTIPLES DEL MINISTERIO DE ENERGIA Y MINAS</t>
  </si>
  <si>
    <t>AS-SM-22-2019-MINEM-2</t>
  </si>
  <si>
    <t xml:space="preserve"> SERVICIOS GENERALES DE TELECOMUNICACIONES EIRL</t>
  </si>
  <si>
    <t>38. SERVICIO DE ACONDICIONAMIENTO DE OFICINAS DE GABINETE DE ASESORES, OFICINA DE IMAGEN INSTITUCIONAL Y COMUNICACIONES Y SALAS DE USOS MULTIPLES DEL MINISTERIO DE ENERGIA Y MINAS</t>
  </si>
  <si>
    <t>AS-SM-21-2019-MINEM-1</t>
  </si>
  <si>
    <t>INVERSIONES SAMIN S.A.C.</t>
  </si>
  <si>
    <t>39. SERVICIO DE ALQUILER DE MODULO DE EXHIBICION (STANDS) DEL PERUMIN 34 CONVENCION MINERA 2019</t>
  </si>
  <si>
    <t>DIRECTA-PROC-4-2019-MINEM-1</t>
  </si>
  <si>
    <t>INST. DE INGENIEROS DE MINAS DEL PERU</t>
  </si>
  <si>
    <t>40. SERVICIO DE CONSULTORIA PARA ELABORACION DE LOS MANUALES DE PROCEDIMIENTO MAPRO DE CINCO PROCESOS MISIONALES DEL MINISTERIO DE ENERGIA Y MINAS</t>
  </si>
  <si>
    <t>AS-SM-23-2019-MINEM-1</t>
  </si>
  <si>
    <t>SOLUCIONES PRECISAS DE SISTEMAS S.A.C.</t>
  </si>
  <si>
    <t>41. SUMINISTRO DE COMBUSTIBLE PETROLEO DIESEL B5-S-50 PARA LAS UNIDADES MOVILES DEL MINISTERIO DE ENERGIA Y MINAS</t>
  </si>
  <si>
    <t>AS-SM-46-2019-MINEM-1</t>
  </si>
  <si>
    <t xml:space="preserve"> GLG INVERSIONES S.A.C.</t>
  </si>
  <si>
    <t>42. SERVICIO DE CONSULTORÍA PARA LA REVISIÓN Y ACTUALIZACIÓN DEL ESQUEMA DE DECLARACIÓN DE PRECIOS DE GAS NATURAL EN EL MERCADO DE GENERACIÓN DEL SUB SECTOR ELECTRICIDAD</t>
  </si>
  <si>
    <t>INTER-PROC-9-2019-MINEM-1</t>
  </si>
  <si>
    <t xml:space="preserve">RONALD DAVID FISCHER BARKAN </t>
  </si>
  <si>
    <t>43. SERVICIO DE CONSULTORÍA PARA ELABORACIÓN DE DOCUMENTO: ANUARIO EJECUTIVO DE ELECTRICIDAD 2019</t>
  </si>
  <si>
    <t>AS-SM-26-2019-MINEM-2</t>
  </si>
  <si>
    <t>APOYO CONSULTORIA S.A.C.</t>
  </si>
  <si>
    <t>44. ADQUISICIÓN E INSTALACIÓN DE MOBILIARIO PARA LOS AMBIENTES DE GABINETE DE ASESORES, OFICINA DE IMAGEN INSTITUCIONAL Y COMUNICACIONES Y SALA DE USOS MÚLTIPLES DEL MINISTERIO DE ENERGIA Y MINAS</t>
  </si>
  <si>
    <t>AS-SM-30-2019-MINEM-1</t>
  </si>
  <si>
    <t>INDUSTRIAS ORIHUELA E.I.R.L.</t>
  </si>
  <si>
    <t>45. SERVICIO DE ADECUACION DE LA AUTOMATIZACION DE LA GESTION DE TRAMITE DOCUMENTARIO DEL MINISTERIO DE ENERGIA Y MINAS</t>
  </si>
  <si>
    <t>DIRECTA-PROC-5-2019-MINEM-1</t>
  </si>
  <si>
    <t>CIBERNOS CONSULTING S.A., SUCURSAL DEL PERU</t>
  </si>
  <si>
    <t>46. SERVICIO DE CONSULTORIA PARA LA ELABORACION DEL PRIMER ESTUDIO DE TRANSPARENCIA REGIONAL DE LA INICIATIVA EITI PARA LA REGION LORETO 2016-2018</t>
  </si>
  <si>
    <t>CONV-PROC-2-2019-MINEM-1</t>
  </si>
  <si>
    <t>47. SERVICIO DE CONSULTORIA PARA LA ELABORACION DEL TERCER ESTUDIO DE TRANSPARENCIA REGIONAL DE LA INICIATIVA EITI PARA LA REGION AREQUIPA 2018</t>
  </si>
  <si>
    <t>CONV-PROC-3-2019-MINEM-1</t>
  </si>
  <si>
    <t>QUIÑONES HUAYNA NILTON MARCELO</t>
  </si>
  <si>
    <t>48. SERVICIO DE CONSULTORIA PARA LA ELABORACION DEL CUARTO ESTUDIO DE TRANSPARENCIA REGIONAL DE LA INICIATIVA EITI PARA LA REGION PIURA 2018</t>
  </si>
  <si>
    <t>CONV-PROC-4-2019-MINEM-1</t>
  </si>
  <si>
    <t>49. SERVICIO DE CONSULTORIA PARA LA ELABORACION DEL CUARTO ESTUDIO DE TRANSPARENCIA REGIONAL DE LA INICIATIVA EITI PARA LA REGION MOQUEGUA 2018</t>
  </si>
  <si>
    <t>CONV-PROC-5-2019-MINEM-1</t>
  </si>
  <si>
    <t>50. CONTRATACIÓN DE UNA ENTIDAD EDUCATIVA PARA LA EJECUCIÓN DEL PROGRAMA DE PASANTÍAS MINERAS PARA LÍDERES DE CENTROS POBLADOS ANEXOS, CASERÍOS Y COMUNIDADES CERCANAS EN DONDE SE REALIZA O SE TIENE PLANIFICADO REALIZAR ACTIVIDAD MINERA</t>
  </si>
  <si>
    <t>AS-SM-45-2019-MINEM-1</t>
  </si>
  <si>
    <t xml:space="preserve"> PONTIFICIA UNIVERSIDAD CATOLICA DEL PERU</t>
  </si>
  <si>
    <t>51. SERVICIO DE ALQUILER DE STAND EN EVENTO INTERNACIONAL SEXTA CONFERENCIA INTERNACIONAL DE MINERÍA Y RECURSOS IMARC 2019</t>
  </si>
  <si>
    <t>INTER-PROC-10-2019-MINEM-1</t>
  </si>
  <si>
    <t>BEACON EVENTS MANAGEMENT PTY LTD</t>
  </si>
  <si>
    <t>52. SERVICIO DE CONSULTORÍA PARA EL ANÁLISIS Y PROPUESTA DE MODIFICACIÓN DEL MARCO NORMATIVO PARA PROMOVER EL DESARROLLO DEL SECTOR ELÉCTRICO DEL SEIN</t>
  </si>
  <si>
    <t>CP-SM-7-2019-MINEM-1</t>
  </si>
  <si>
    <t>MERCADOS ENERGETICOS CONSULTORES SOCIEDAD ANONIMA SUCURSAL DEL PERU / CENTRO DE CONSERVACION DE ENERGIA Y DEL AMBIENTE</t>
  </si>
  <si>
    <t>53. SERVICIO DE CONSULTORÍA LEGAL</t>
  </si>
  <si>
    <t>DIRECTA-PROC-8-2019-MINEM-1</t>
  </si>
  <si>
    <t>ESTUDIO ROSSELLO SCRL</t>
  </si>
  <si>
    <t>54. SERVICIO DE DEFENSA Y ASESORIA LEGAL A FAVOR DE LA SEÑORA ROSA MARIA ORTIZ RIOS</t>
  </si>
  <si>
    <t>DIRECTA-PROC-7-2019-MINEM-1</t>
  </si>
  <si>
    <t>ESTUDIO LINARES ABOGADOS S.CIV.R.L.</t>
  </si>
  <si>
    <t>55. SERVICIO DE DEFENSA Y ASESORIA LEGAL A FAVOR DEL SEÑOR FRANCISCO ATILIO ISMODES MEZZANO</t>
  </si>
  <si>
    <t>DIRECTA-PROC-6-2019-MINEM-1</t>
  </si>
  <si>
    <t>DCC CONSULTORES S.A.C.</t>
  </si>
  <si>
    <t>56. ADQUISICION DE LICENCIAMIENTOS ACTUALIZADOS A LA VERSIÓN VIGENTE DE PRODUCTOS ARCGIS DEL MINEM</t>
  </si>
  <si>
    <t>DIRECTA-PROC-9-2019-MINEM-1</t>
  </si>
  <si>
    <t>TELEMATICA S A</t>
  </si>
  <si>
    <t>57. SERVICIO DE AUSPICIO EN CALIDAD COUNTRY SPONSOR EN PDAC 2020</t>
  </si>
  <si>
    <t>INTER-PROC-11-2019-MINEM-1</t>
  </si>
  <si>
    <t xml:space="preserve"> PROSPECTORS &amp; DEVELOPERS ASSOCIATION OF CANADA</t>
  </si>
  <si>
    <t>58. ADQUISICIÓN DE LIBROS EDUCATIVOS PARA EL NIVEL INICIAL, PRIMARIA Y SECUNDARIA POR EL DÍA NACIONAL DEL AHORRO DE ENERGÍA</t>
  </si>
  <si>
    <t>AS-SM-38-2019-MINEM-1</t>
  </si>
  <si>
    <t>ORGAN PARA EL DESARR CULT DEL PERU SRL</t>
  </si>
  <si>
    <t>59. SERVICIO PARA LA MIGRACION Y OPTIMIZACION DE LA INTRANET Y EXTRANET DEL MINEM SOBRE UNA PLATAFORMA CON SISTEMA OPERATIVO LINUX</t>
  </si>
  <si>
    <t>INTER-PROC-12-2019-MINEM-1</t>
  </si>
  <si>
    <t>ENFOLD SYSTEMS Inc</t>
  </si>
  <si>
    <t>60. SERVICIO DE RENOVACIÓN, SOPORTE TÉCNICO Y ACTUALIZACIÓN DE LOS PRODUCTOS ORACLE PARA EL MINEM</t>
  </si>
  <si>
    <t>DIRECTA-PROC-10-2019-MINEM-1</t>
  </si>
  <si>
    <t>SISTEMAS ORACLE DEL PERU S.R.L.</t>
  </si>
  <si>
    <t>61. SERVICIO DE CONSULTORÍA PARA LA EVALUACIÓN DE INSTRUMENTOS DE GESTIÓN AMBIENTAL COMPLEMENTARIOS (MEMORIA TÉCNICA DETALLADA Y PLAN AMBIENTAL DETALLADO)</t>
  </si>
  <si>
    <t>AS-SM-39-2019-MINEM-2</t>
  </si>
  <si>
    <t>RUPA OQUENDO DAVID MANUEL / REA GALINDO GLORIA REGINA / FIGUEROA REYNOSO LUIS ALBERTO</t>
  </si>
  <si>
    <t>62. SERVICIO DE RENOVACIÓN DE SOPORTE Y MANTENIMIENTO DE LOS PRODUCTOS MICROSOFT PARA EL MINISTERIO DE ENERGÍA Y MINAS</t>
  </si>
  <si>
    <t>CP-SM-6-2019-MINEM-1</t>
  </si>
  <si>
    <t xml:space="preserve"> SOFTLINE INTERNATIONAL PERU S.A.C.</t>
  </si>
  <si>
    <t>63. SERVICIO DE RENOVACION DE SOPORTE TECNICO Y ACTUALIZACION DE LOS PRODUCTOS DEL SOFTWARE DE GESTION DOCUMENTAL LASERFICHE PARA EL MINISTERIO DE ENERGIA Y MINAS</t>
  </si>
  <si>
    <t>AS-SM-40-2019-MINEM-1</t>
  </si>
  <si>
    <t>POLYSISTEMAS CORP SOCIEDAD ANONIMA CERRADA</t>
  </si>
  <si>
    <t>64. ADQUISIOCON DE EQUIPOS COMPUTACIONALES PARA EL MINEM</t>
  </si>
  <si>
    <t>O.C N°418-2019 / 419-2019 / 423-2019 / 420-2019 / 421-2019 / 422-2019 / 424-2019 / 425-2019 / 428-2019 / 438-2019</t>
  </si>
  <si>
    <t>OK COMPUTER E.I.R.L / OFFIMAAC ELECTRONICS E.I.R.L / PROJECT TAJAMA S.A.C / COMPU-SISTEMAS DEL PERU SAC / CIBER COMPUTOS S.A.C /  IMPORTACIONES MEGA CHAMBI S.A.C / PANA BUSINESS E.I.R.L /  IMPORTACIONES MEGA CHAMBI S.A.C / GRUPO MEGATEC S.R.L</t>
  </si>
  <si>
    <t>3/12/2019 - 3/12/2019 - 03/12/2019 - 03/12/2019 - 03/12/2019 - 03/12/2019 - 03/12/2019 - 03/12/2019 - 05/12/2019 - 11/12/2019</t>
  </si>
  <si>
    <t>27/12/2019 - 17/12/2019 - 17/12/2019 - 17/12/2019 - 17/12/2019 - 26/12/2019 - 17/12/2019 - 17/12/2019 - 17/12/2019 - 20/12/2019</t>
  </si>
  <si>
    <t>65. SERVICIO DE PROPUESTA DE EXPERTO PARA RESOLVER LA CONTROVERSIA TÉCNICA EXISTENTE ENTRE TRANSPORTADORA DE GAS DEL PERÚ (TGP) Y EL MINISTERIO DE ENERGÍA Y MINAS</t>
  </si>
  <si>
    <t>INTER-PROC-8-2019-MEM-1</t>
  </si>
  <si>
    <t>INTERNATIONAL CHAMBER OF COMMERCE</t>
  </si>
  <si>
    <t>66. SERVICIO DE CATERING PARA EVENTO ORGANIZADO POR LA DELEGACIÓN PERUANA - PDAC 2019 BREAKFAST MEETING Y ATENCIÓN SALA DE REUNIONES</t>
  </si>
  <si>
    <t>INTER-PROC-3-2019-MEM-1</t>
  </si>
  <si>
    <t>METRO TORONTO CONVENTION CENTRE</t>
  </si>
  <si>
    <t>67. SERVICIO DE INTERPRETACIÓN SIMULTANEA - CONFERENCIA PERUANA CEO LUNCHEON Y PERU DAY - PDAC 2019</t>
  </si>
  <si>
    <t>INTER-PROC-2-2019-MEM-1</t>
  </si>
  <si>
    <t>AMERO COMMUNICATIONS INC</t>
  </si>
  <si>
    <t>68. SERVICIO DE DECORACIÓN DE SALA DE CONFERENCIAS PARA PDAC 2019 - SALA DE CONFERENCIA PARA EL PERÚ DAY</t>
  </si>
  <si>
    <t>INTER-PROC-1-2019-MEM-1</t>
  </si>
  <si>
    <t>GES EXPOSITION SERVICES(CANADA) LIMITED</t>
  </si>
  <si>
    <t>69. SERVICIO DE ORGANIZACIÓN Y EJECUCIÓN DEL PROGRAMA DE INTEGRACIÓN E IDENTIDAD</t>
  </si>
  <si>
    <t>AS-SM-32-2019-MINEM-1</t>
  </si>
  <si>
    <t>NO SUSCRIPCIÓN DE CONTRATO</t>
  </si>
  <si>
    <t>70. SERVICIO DE APOYO Y SOPORTE A LA IMPLEMENTACIÓN A NIVEL SUB NACIONAL DE LA INICIATIVA PARA LA TRANSPARENCIA EN LAS INDUSTRIAS EXTRACTIVAS EITI EN LA REGIÓN LORETO</t>
  </si>
  <si>
    <t>CONV-PROC-6-2019-MINEM-1</t>
  </si>
  <si>
    <t>71. SERVICIO DE CONSULTORÍA PARA ACTUALIZACIÓN DE LA NORMA DGE ESPECIFICACIONES TÉCNICAS DE SOPORTE NORMALIZADOS PARA LAS LÍNEAS Y REDES PRIMARIAS Y SECUNDARIAS PARA ELECTRIFICACIÓN RURAL</t>
  </si>
  <si>
    <t>AS-SM-19-2019-MEM-2</t>
  </si>
  <si>
    <t>DESIERTO</t>
  </si>
  <si>
    <t>72. SERVICIO DE CONSULTORÍA PARA REVISIÓN DEL ESTUDIO DE PRUEBAS DE POTENCIA EFECTIVA Y RENDIMIENTO DE LA CENTRAL TERMICA RESERVA FRÍA IQUITOS</t>
  </si>
  <si>
    <t>AS-SM-17-2019-MEM-1</t>
  </si>
  <si>
    <t>73. SERVICIO DE CONSULTORIA PARA DESARROLLAR, MEJORAR Y ACTUALIZAR EL MODELO DE EQUILIBRIO COMPUTABLE CON ENFASIS EN EL SECTOR ENERGETICO IMPLEMENTADO CON EL MARCO DEL SISTEMA DE PLANIFICACION ENERGETICA DEL MINISTERIO DE ENERGIA Y MINAS</t>
  </si>
  <si>
    <t>AS-SM-8-2019-MEM-3</t>
  </si>
  <si>
    <t>74. CONSULTORÍA PARA LA EVALUACIÓN DE LAS INVESTIGACIONES REALIZADAS PARA EL CIERRE DE LOS DEPÓSITOS  DE RELAVES TAMBORAQUE EN BASE AL ESTUDIO PRESENTADO POR LA EMPRESA NYSTAR CORICANCHA S.A.</t>
  </si>
  <si>
    <t>AS-SM-13-2018-MEM-3</t>
  </si>
  <si>
    <t>75. SERVICIO  DE ELABORACIÓN DEL SÉPTIMO INFORME NACIONAL DE TRANSPARENCIA EN LAS INDUSTRIAS EXTRACTIVAS EITI PERU PERIODOS 2017 Y 2018</t>
  </si>
  <si>
    <t>AS-SM-34-2019-MINEM-2</t>
  </si>
  <si>
    <t>76. SERVICIO  DE CONSULTORÍA PARA REVISIÓN DE INFORME DE FORMULACIÓN DE OBSERVACIONES, ELABORACIÓN Y REVISIÓN DEL INFORME QUE EVALÚA LA SUBSANACIÓN DE LAS OBSERVACIONES PRESENTADAS POR LOS ADMINISTRADOS EN LOS PROCEDIMIENTOS DE EVALUACIÓN DE INFORMES DE IDENTIFICACIÓN DE SITIOS CONTAMINADOS, CORRESPONDIENTE A ACTIVIDADES DE COMERCIALIZACIÓN DE HIDROCARBUROS</t>
  </si>
  <si>
    <t>AS-SM-35-2019-MINEM-1</t>
  </si>
  <si>
    <t>77. SERVICIO DE CONSULTORÍA ESPECIALIZADA PARA LA ELABORACIÓN DE UN ESTUDIO DE DIAGNÓSTICO SOBRE LA MINERÍA ILEGAL EN LA REGIÓN LA LIBERTAD</t>
  </si>
  <si>
    <t>AS-SM-37-2019-MINEM-2</t>
  </si>
  <si>
    <t>78. SERVICIO DE CONSULTORÍA PARA EL CÁLCULO DEL COSTO DE GENERACIÓN DEL SISTEMA AISLADO DE IQUITOS Y LA POSIBILIDAD QUE EL MECANISMO DE COMPENSACIÓN DEL SISTEMA AISLADO CUBRA DICHO COSTO (REVISIÓN DE NORMA).</t>
  </si>
  <si>
    <t>AS-SM-16-2019-MEM-2</t>
  </si>
  <si>
    <t>CANCELADO</t>
  </si>
  <si>
    <t>79. SERVICIO DE INSTALACION Y DESINSTALACION DE BACKING SEÑALETICAS ESTADOS Y ELEMENTOS DE DECORACION PARA EL ENCUENTRO Y EXPOSICION MUNDIAL DE ENERGIAS RENOVABLES SUN WORLD 2019</t>
  </si>
  <si>
    <t>AS-SM-31-2019-MINEM-1</t>
  </si>
  <si>
    <t>80. SERVICIO DE INTERNET PARA EL EVENTO: ENCUENTRO Y EXPOSICIÓN MUNDIAL DE ENERGÍAS RENOVABLES SUN WORLD 2019</t>
  </si>
  <si>
    <t>AS-SM-33-2019-MINEM-1</t>
  </si>
  <si>
    <t>81. SERVICIO DE PERSONAL DE REALIZACION PARA EL ENCUENTRO Y EXPOSICION MUNDIAL DE ENERGIAS RENOVABLES SUN WORLD 2019</t>
  </si>
  <si>
    <t>AS-SM-29-2019-MINEM-1</t>
  </si>
  <si>
    <t>82. SERVICIO DE DIGITALIZACION CON VALOR LEGAL DE DOCUMENTOS DE ARCHIVO CENTRAL DEL MINISTERIO DE ENERGIA Y MINAS</t>
  </si>
  <si>
    <t>AS-SM-41-2019-MINEM-1</t>
  </si>
  <si>
    <t>CONSORCIO POLYSISTEMAS CORP S.A.C. - INFORMATICA EL CORTE INGLES S.A. SURCURSAL DEL PERU</t>
  </si>
  <si>
    <t>NULIDAD</t>
  </si>
  <si>
    <t>83. ADQUISICIÓN DE SILLAS ERGONÓMICAS PARA EL PERSONAL DEL MINISTERIO DE ENERGÍA Y MINAS</t>
  </si>
  <si>
    <t>AS-SM-9-2019-MEM-1</t>
  </si>
  <si>
    <t>JJH CONSULTORES S.A.C</t>
  </si>
  <si>
    <t>1. SERVICIO DE ELABORACIÓN DE LAS GUIAS Y CARTILLAS DE ORIENTACION DEL USO EFICIENTE DE LA ENERGÍA Y DE DIAGNOSTICO ENERGÉTICO</t>
  </si>
  <si>
    <t>AS-SM-3-2020-MINEM-1</t>
  </si>
  <si>
    <t>CENTRO DE CONSERVACION DE ENERGIA Y DEL AMBIENTE</t>
  </si>
  <si>
    <t>2. ADQUISCION DE PAPEL BOND A4</t>
  </si>
  <si>
    <t>CONVENIO MARCO</t>
  </si>
  <si>
    <t>O.C N° 120-2020-MINEM</t>
  </si>
  <si>
    <t>COMERCIAL CYAM</t>
  </si>
  <si>
    <t>3. SERVICIOS PARA LA PARTICIPACION DEL MINEM Y LA DELEGACION PERUANA EN EL MARCO DEL PDAC 2020</t>
  </si>
  <si>
    <t>CONTRATO INTERNACIONAL</t>
  </si>
  <si>
    <t>INTER-PROC-1-2020-MINEM-1</t>
  </si>
  <si>
    <t>METRO TORONTO CONVENTION CENTRE / AMERO COMMUNICATIONS INC / GLOBAL PUBLIC AFFAIRS INC / 2591543 ONTARIO LIMITED / THE RITZ-CARLTON, TORONTO / FREEMAN AUDIO VISUAL CANADA</t>
  </si>
  <si>
    <t>1/03/2020 - 2/03/2020 - 20/02/2020 - 3/03/2020 - 3/03/2020 - 1/03/2020</t>
  </si>
  <si>
    <t>3/03/2020 - 3/03/2020 - 30/03/2020 - 3/03/2020 -3/03/2020 - 3/03/2020</t>
  </si>
  <si>
    <t>4. SERVICIO DE ALIMENTACION, ALOJAMIENTO, SALAS DE CONFERENCIA Y EQUIPO MULTIMEDIA PARA LOS TRES EVENTOS DE FORTALECIMIENTO Y DESARROLLO DE CAPACIDADES A DESARROLLARSE EN LIMA CON LOS REPRESENTANTES DE LAS ZONAS SUR, NORTE Y ORIENTE</t>
  </si>
  <si>
    <t>AS-SM-1-2020-MINEM-1</t>
  </si>
  <si>
    <t>CORPORATION KOPER S.A.C</t>
  </si>
  <si>
    <t>5. SERVICIOS PARA LA SUSCRIPCION DE BASE DE DATOS ESPECIALIZADA</t>
  </si>
  <si>
    <t>INTER-PROC-2-2020-MINEM-1</t>
  </si>
  <si>
    <t xml:space="preserve"> S&amp;P GLOBAL MARKET INTELLIGENCE LLC / WOOD MACKENZIE INC /  CRU STRATEGIES CONSULTORES LTDA</t>
  </si>
  <si>
    <t>6. SERVICIO DE ASESORIA LEGAL PARA EL PATROCINIO DE PROCESOS ARBITRALES</t>
  </si>
  <si>
    <t>DIRECTA-PROC-1-2020-MINEM-1</t>
  </si>
  <si>
    <t>ESTUDIO RIVERA S.A.C.</t>
  </si>
  <si>
    <t>7. SERVICIO DE CONSULTORIA PARA LA ELABORACION DEL PROYECTO NORMATIVO QUE ESTABLEZCA LOS CRITERIOS PARA LA GESTION DE SITIOS CONTAMINADOS GENERADOS POR ACTIVIDADES DEL SECTOR MINERO Y LOS PROCEDIMIENTOS NECESARIOS PARA SU IMPLEMENTACION</t>
  </si>
  <si>
    <t>AS 2-2020-MINEM</t>
  </si>
  <si>
    <t>TEMA LITOCLEAN S.A.C.</t>
  </si>
  <si>
    <t>8. SERVICIO DE DEFENSA LEGAL DE FUNCIONARIOS A FAVOR DEL SR. JUAN GUALBERTO VALDIVIA ROMERO</t>
  </si>
  <si>
    <t>DIRECTA-PROC-2-2020-MINEM-1</t>
  </si>
  <si>
    <t>AURELIO PASTOR &amp; ABOGADOS E.I.R.L</t>
  </si>
  <si>
    <t>9. SERVICIO DE CONSULTORÍA DE LA NORMA DGE ESPECIFICACIONES TÉCNICAS DE SOPORTES NORMALIZADOS PARA LÍNEAS Y REDES PRIMARIAS Y SECUNDARIAS PARA ELECTRIFICACIÓN RURAL</t>
  </si>
  <si>
    <t>AS-SM-19-2019-MEM-3</t>
  </si>
  <si>
    <t>ARELLAN YANAC LUIS ALBERTO</t>
  </si>
  <si>
    <t>10. SERVICIO DE CONSULTORÍA PARA LA CERTIFICACIÓN DE RECURSOS Y EVALUACIÓN DE DISPONIBILIDAD DE GAS NATURAL EN LOS LOTES DEL ÁREA CAMISEA PARA EL PROYECTO SISTEMA INTEGRADO DE TRANSPORTE DE GAS NATURAL- ZONA SUR DEL PERÚ (SITG)</t>
  </si>
  <si>
    <t>INTER-PROC-3-2020-MINEM-1</t>
  </si>
  <si>
    <t>DEGOLYER AND MACNAUGHTON CORP.</t>
  </si>
  <si>
    <t>11. SERVICIO DE ELABORACIÓN DEL SÉPTIMO INFORME NACIONAL DE TRANSPARENCIA EN LAS INDUSTRIAS EXTRACTIVAS EITI PERU PERIODOS 2017 Y 2018</t>
  </si>
  <si>
    <t>AS-SM-34-2019-MINEM-3</t>
  </si>
  <si>
    <t>LAUB &amp; QUIJANDRIA-CONSULTORES Y ABOGADOS SOCIEDAD CIVIL DE RESPONSABILIDAD LIMITADA /  BDO CONSULTING S.A.C.</t>
  </si>
  <si>
    <t>12. SERVICIO DE ALMACENAMIENTO Y CUSTODIA DE LA DOCUMENTACION DEL MINISTERIO DE ENERGIA Y MINAS</t>
  </si>
  <si>
    <t>CP-SM-3-2020-MINEM-1</t>
  </si>
  <si>
    <t>13. SERVICIOS DE SEGURIDAD Y VIGILANCIA PRIVADA PARA EL MINISTERIO DE ENERGIA Y MINAS</t>
  </si>
  <si>
    <t>CP-SM-2-2020-MINEM-1</t>
  </si>
  <si>
    <t>INTEGRACIÓN DE BASES</t>
  </si>
  <si>
    <t>14. SERVICIO DE ALQUILER DE UN SISTEMA DE SEGURIDAD AUTOMATIZADA PARA LA SEDE CENTRAL DEL MINISTERIO DE ENERGIA Y MINAS Y LOCALES ANEXOS</t>
  </si>
  <si>
    <t>CP-SM-4-2020-MINEM-1</t>
  </si>
  <si>
    <t>15. SERVICIO DE DESARROLLO DE UN NUEVO SISTEMA DE DECLARACION ANUAL CONSOLIDADA (DAC) PARA LA DIRECCION GENERAL DE MINERIA DEL MINEM</t>
  </si>
  <si>
    <t>CP-SM-1-2020-MINEM-1</t>
  </si>
  <si>
    <t>FORMULACION Y ABSOLUCION DE CONSULTAS</t>
  </si>
  <si>
    <t>16. SERVICIO DE CONSULTORIA PARA LA REVISION DEL ESTUDIO DE PRUEBAS DE POTENCIA EFECTIVA Y RENDIMIENTO DE LA CENTRAL TERMICA RESERVA FRIA IQUITOS</t>
  </si>
  <si>
    <t>AS-SM-17-2019-MEM-2</t>
  </si>
  <si>
    <t>17. SERVICIO DE CONSULTORÍA PARA LA ELABORACIÓN DEL LIBRO ANUAL DE RECURSOS DE HIDROCARBUROS 2019</t>
  </si>
  <si>
    <t>AS-SM-7-2020-MINEM-1</t>
  </si>
  <si>
    <t>18. SERVICIO DE CONSULTORÍA PARA LA ELABORACIÓN DE LOS PROCEDIMIENTOS PARA LA INYECCIÓN DE LA ENERGÍA EN LAS REDES ELÉCTRICAS</t>
  </si>
  <si>
    <t>AS-SM-6-2020-MINEM-1</t>
  </si>
  <si>
    <t>19 SERVICIO DE CONSULTORÍA PARA LA ELABORAR NORMA DGE Y UNA GUÍA PARA LA SELECCIÓN DE LOS DESCARGADORES DE SOBRETENSIONES EN REDES ELÉCTRICAS DE DISTRIBUCIÓN</t>
  </si>
  <si>
    <t>AS-SM-5-2020-MINEM-1</t>
  </si>
  <si>
    <t>20. CONTRATACIÓN DEL SERVICIO DE MANTENIMIENTO PREVENTIVO Y CORRECTIVO DE LA FLOTA VEHICULAR DEL MINISTERIO DE ENERGÍA Y MINAS</t>
  </si>
  <si>
    <t>CP-SM-6-2020-MINEM-1</t>
  </si>
  <si>
    <t>21. SERVICIO DE CONSULTORÍA PARA IDENTIFICAR, EVALUAR Y PROPONER SOLUCIONES EN TORNO AL IMPACTO DEL DESARROLLO Y MASIFICACIÓN DEL MERCADO DE VEHÍCULOS ELÉCTRICOS EN EL PERÚ SOBRE LA INFRAESTRUCTURA DEL SISTEMA ELÉCTRICO</t>
  </si>
  <si>
    <t>AS-SM-4-2020-MINEM-1</t>
  </si>
  <si>
    <t>22. SERVICIO DE CONSULTORÍA PARA EL ANÁLISIS DE LA DEMANDA DE GAS NATURAL A NIVEL NACIONAL Y DEMANDA DEL GAS NATURAL PARA EL PROYECTO SITGAS</t>
  </si>
  <si>
    <t>CP-SM-7-2020-MINEM-1</t>
  </si>
  <si>
    <t>23. SERVICIO DE COMUNICACIONES UNIFICADAS PARA EL MINISTERIO DE ENERGÍA Y MINAS</t>
  </si>
  <si>
    <t>CP-SM-5-2020-MINEM-1</t>
  </si>
  <si>
    <t>24. SERVICIO DE CONSULTORÍA “ESTUDIO A NIVEL DE PRE INVERSIÓN DEL PERFIL DEL PROYECTO DE INVERSIÓN: CREACIÓN E IMPLEMENTACIÓN DE LA VENTANILLA ÚNICA DIGITAL DEL SECTOR MINERÍA ADMINISTRADA POR EL MINISTERIO DE ENERGÍA Y MINAS</t>
  </si>
  <si>
    <t>CP-SM-8-2020-MINEM-1</t>
  </si>
  <si>
    <t>25. ADQUISICIÓN DE KITS DE PRUEBAS SEROLÓGICAS (IGM/IGG) PARA LA DETECCIÓN DEL COVID-19 DE LOS SERVIDORES DEL MINISTERIO DE ENERGÍA Y MINAS, PREVENCIÓN Y CONTROL SANITARIO CONTRA LA PROPAGACIÓN DEL COVID-19</t>
  </si>
  <si>
    <t>AS-SM-8-2020-MINEM-1</t>
  </si>
  <si>
    <t>26. SERVICIO DE EXAMENES MEDICOS OCUPACIONALES ACORDE CON LOS RIESGOS A LOS QUE ESTAN EXPUESTOS LOS TRABAJADORES DEL MINISTERIO DE ENERGIA Y MINAS</t>
  </si>
  <si>
    <t>REVISIÓN DE TDR</t>
  </si>
  <si>
    <t>27. CONTRATACIÓN DE SEGUROS PERSONALES Y PATRIMONIALES PARA EL MINISTERIO DE ENERGIA Y MINAS</t>
  </si>
  <si>
    <t>ELABORACIÓN DE TDR</t>
  </si>
  <si>
    <t>28. SERVICIOS DE LIMPIEZA EN LAS DIFERENTES INSTALACIONES DEL MINISTERIO DE ENERGÍA Y MINAS.</t>
  </si>
  <si>
    <t>REVISIÓN TDR</t>
  </si>
  <si>
    <t>29. SERVICIO DE FOTOCOPIADO E IMPRESIONES PARA EL MINISTERIO DE ENERGIA Y MINAS</t>
  </si>
  <si>
    <t>REVISIÓN OTI</t>
  </si>
  <si>
    <t>30. SERVICIO DE ELABORACION DE UNA GUIA TECNICA PARA LA SELECCION E INSTALACIÓN DE EQUIPOS DE PROTECCION CONTRA SOBRETENSIONES EN EDIFICACIONES EN GENERAL</t>
  </si>
  <si>
    <t>INDAGACIÓN DE MERCADO</t>
  </si>
  <si>
    <t>31. SERVICIO DE RENOVACION DE SOPORTE TECNICO Y ACTUALIZACIONES DE LOS PRODUCTOS ORACLE PARA EL MINEM</t>
  </si>
  <si>
    <t>APROBACIÓN DE EXPEDIENTE</t>
  </si>
  <si>
    <t>32. SERVICIO DE SOPORTE TECNICO Y ACTUALIZACION DE LOS PRODUCTOS DEL SOFTWARE DE GESTIÓN DOCUMENTAL LASERFICHE PARA EL MINEM</t>
  </si>
  <si>
    <t>ELABORACIÓN DE BASES</t>
  </si>
  <si>
    <t>33. SERVICIO DE TELEFONIA MOVIL VOZ Y DATOS</t>
  </si>
  <si>
    <t>34. SERVICIO DE AGENCIAMIENTO DE PASAJES AEREOS NACIONALES Y SERVICIOS CONEXOS PARA EL MINEM</t>
  </si>
  <si>
    <t>EVALUACION PARA REPROGRAMAR FECHA DE CONVOCATORIA</t>
  </si>
  <si>
    <t>AÑO 2020</t>
  </si>
  <si>
    <t>UNIDAD EJECUTORA:  001  MINISTERIO DE ENERGÍA Y MINAS - CENTRAL</t>
  </si>
  <si>
    <t>UNIDAD EJECUTORA:  005  DIRECCIÓN GENERAL DE ELECTRIFICACIÓN RURAL - DGER</t>
  </si>
  <si>
    <t>1. CONTRATACIÓN DE LA ELABORACIÓN DEL ESTUDIO DEFINITIVO DEL PROYECTO "INSTALACIÓN DEL SERVICIO ELÉCTRICO RURAL DE LAS LOCALIDADES DE LAS PROVINCIAS DE LA MAR, HUAMANGA, CANGALLO, HUANCASANCOS, VÍCTOR FAJARDO, VILCASHUAMAN, LUCANAS Y PARINACOCHAS, DEL DEPARTAMENTO DE AYACUCHO Y DE LA PROVINCIA DE ANGARAES, DEL DEPARTAMENTO DE HUANCAVELICA"</t>
  </si>
  <si>
    <t>--</t>
  </si>
  <si>
    <t>CP-0023-2018-MEM/DGER</t>
  </si>
  <si>
    <t>CONSORCIO RUBELEC (RAMOS QUISPE ROGER ELEUTERIO; SERVICIOS Y REPRESENTACIONES PROFESIONALES RUBELEC S.A.; y, RAMOS &amp; VALDEZ CC GG SRL) R.U.C. Nº 20172889540</t>
  </si>
  <si>
    <t>TERMINADO</t>
  </si>
  <si>
    <t>2. CONTRATACIÓN DE LA ELABORACIÓN DEL ESTUDIO DEFINITIVO DEL PROYECTO "INSTALACIÓN DEL SERVICIO ELÉCTRICO RURAL EN 46 LOCALIDADES DE LAS PROVINCIAS DE HUANTA, LA MAR Y SATIPO, Y 81 LOCALIDADES DE LAS PROVINCIAS DE CHANCHAMAYO Y SATIPO, DE LOS DEPARTAMENTO DE AYACUCHO Y JUNÍN"</t>
  </si>
  <si>
    <t>CP-0029-2018-MEM/DGER</t>
  </si>
  <si>
    <t xml:space="preserve">CONSORCIO PROGRESO (1. SOCIEDAD DE INGENIERÍA CONSTRUCTIVA AMERICANA CONTRATISTAS GENERALES S.A.C. - 2. WALDO JOSE CHUQUILLANQUI BENITES) R.U.C. N° 20547708475 </t>
  </si>
  <si>
    <t>3. SUPERVISIÓN DE LA EJECUCIÓN DE LA OBRA "INSTALACIÓN Y AMPLIACIÓN DEL SISTEMA ELÉCTRICO RURAL SAN MIGUEL FASE I - CAJAMARCA"</t>
  </si>
  <si>
    <t>CP-0001-2019-MINEM/DGER</t>
  </si>
  <si>
    <t xml:space="preserve"> CONSORCIO CARBAO Y LPD (CARBAO S.A.C. y LUIS PEÑA DUEÑAS), R.U.C. N° 10105790321</t>
  </si>
  <si>
    <t>4. CONTRATACIÓN DE LA ELABORACIÓN DEL ESTUDIO DEFINITIVO DEL PROYECTO AMPLIACIÓN DE REDES DE DISTRIBUCIÓN EN EL DEPARTAMENTO DE HUANCAVELICA</t>
  </si>
  <si>
    <t>CP-0028-2018-MEM/DGER</t>
  </si>
  <si>
    <t>RUBELEC S.A. R.U.C. Nº 20172889540</t>
  </si>
  <si>
    <t>5. CONTRATACIÓN DE LA ELABORACIÓN DEL ESTUDIO DEFINITIVO DEL PROYECTO "AMPLIACIÓN DE REDES DE DISTRIBUCIÓN EN EL DEPARTAMENTO DE APURÍMAC"</t>
  </si>
  <si>
    <t>CP-0032-2018-MEM/DGER</t>
  </si>
  <si>
    <t>CARLOS V GOICOCHEA VEGA R.U.C. Nº 10328697021</t>
  </si>
  <si>
    <t>6. SUPERVISIÓN DE LA OBRA "CREACIÓN DEL SISTEMA ELÉCTRICO RURAL DE LA COMUNIDAD CAMPESINA DE MICHIQUILLAY, DISTRITO DE LA ENCAÑADA PROVINCIA DE CAJAMARCA - DEPARTAMENTO DE CAJAMARCA"</t>
  </si>
  <si>
    <t>CP-0025-2018-MEM/DGER</t>
  </si>
  <si>
    <t>HURTADO HERMOZA INGENIEROS CONSULTORES S.A. R.U.C. Nº 20134100622</t>
  </si>
  <si>
    <t>7. CONTRATACIÓN DE LA ELABORACIÓN DEL ESTUDIO DEFINITIVO DEL PROYECTO AMPLIACION DE REDES DE DISTRIBUCION EN LA PROVINCIA DE HUANTA -DEPARTAMENTO DE AYACUCHO</t>
  </si>
  <si>
    <t>CP-0030-2018-MEM/DGER</t>
  </si>
  <si>
    <t>RANDA S.R.L. R.U.C. Nº 20417717391</t>
  </si>
  <si>
    <t>8. SUPERVISIÓN DE LA OBRA "AMPLIACIÓN DEL SERVICIO DE ENERGÍA ELÉCTRICA EN EL VALLE SANTA CRUZ II ETAPA Y SELVA DE ORO DEL DISTRITO DE RÍO TAMBO, SATIPO - JUNÍN"</t>
  </si>
  <si>
    <t>CP-0002-2019-MINEM/DGER</t>
  </si>
  <si>
    <t>CESAM S.A.C., R.U.C. N° 20531353154</t>
  </si>
  <si>
    <t>9. CONTRATACIÓN DEL PROGRAMA DE SEGURO INTEGRAL PARA LA DIRECCIÓN GENERAL DE ELECTRIFICACIÓN RURAL DEL MINISTERIO DE ENERGÍA Y MINAS</t>
  </si>
  <si>
    <t>CP-0027-2018-MEM/DGER</t>
  </si>
  <si>
    <t>CONSORCIO PACIFICO (PACÍFICO COMPAÑÍA DE SEGUROS Y REASEGUROS S.A., y PACIFICO S.A. EMPRESA PRESTADORA DE SALUD) R.U.C. Nº  20332970411</t>
  </si>
  <si>
    <t>10. CONTRATACIÓN DE LA ELABORACIÓN DEL PERFIL DEL PROYECTO "ELECTRIFICACIÓN RURAL EN LOCALIDADES DE LOS DISTRITOS DE BALSAPUERTO, JEBEROS, LAGUNAS Y YURIMAGUAS, PROVINCIA ALTO AMAZONAS REGIÓN LORETO"</t>
  </si>
  <si>
    <t>CP-0022-2018-MEM/DGER</t>
  </si>
  <si>
    <t>PRICONSA R.U.C. Nº 20108432510</t>
  </si>
  <si>
    <t>11. SUPERVISIÓN DE LA OBRA "ELECTRIFICACIÓN DE LAS LOCALIDADES DEL SAUCE, CRUZ BAJA, VISTA, FLORIDA, LAS MERCEDES, LAGUNA EL PATO, SAN LORENZO, SAN JOSÉ, EL VERDE, EL BALCÓN, LA ESPERANZA, LA TABLA, EL NOGAL, CAMPO ALEGRE Y SAN JUAN DE CHOTA DEL DISTRITO DE BAGUA GRANDE"</t>
  </si>
  <si>
    <t>CP-0026-2018-MEM/DGER</t>
  </si>
  <si>
    <t>JAIME ROMÁN HUARCAYA RAZABAL R.U.C. Nº 10075164811</t>
  </si>
  <si>
    <t>12. MANTENIMIENTO PREVENTIVO, CORRECTIVO Y PUESTA EN SERVICIO DE 42 GRUPOS ELECTRÓGENOS ESTACIONARIOS INSTALADOS EN EL DEPARTAMENTO DE UCAYALI – SER AGUAYTIA III ETAPA</t>
  </si>
  <si>
    <t xml:space="preserve">AS-0002-2019-MEM/DGER </t>
  </si>
  <si>
    <t>CONSORCIO DÍAZ (J&amp;C CONSTRUCCIONES CIVILES S.R.L. y VALENSAV S.A.C.) R.U.C. Nº 20563554488</t>
  </si>
  <si>
    <t>13. ELABORACIÓN DEL ESTUDIO DEFINITIVO DEL PROYECTO “AMPLIACIÓN DE REDES DE DISTRIBUCIÓN EN EL DEPARTAMENTO DE PASCO”</t>
  </si>
  <si>
    <t xml:space="preserve">AS-0009-2019-MEM/DGER </t>
  </si>
  <si>
    <t>SOCIEDAD DE INGENIERÍA CONSTRUCTIVA AMERICANA S.A.C., R.U.C. N° 20547708475</t>
  </si>
  <si>
    <t>14. FOTOCOPIADO DE DOCUMENTOS Y PLANOS PARA LA DIRECCION GENERAL DE ELECTRIFICACION RURAL DEL MINISTERIO DE ENERGIA Y MINAS</t>
  </si>
  <si>
    <t>AS-0028-2018-MEM/DGER</t>
  </si>
  <si>
    <t>DIGITAL PRINT SERVICE E.I.R.L. R.U.C. Nº 20392639803</t>
  </si>
  <si>
    <t>15. SUPERVISIÓN DE LA OBRA "SISTEMA ELÉCTRICO RURAL CORA CORA V ETAPA"</t>
  </si>
  <si>
    <t>AS-0035-2018-MEM/DGER</t>
  </si>
  <si>
    <t>CESAR MUÑOZ RUBIO R.U.C. Nº 10090757828</t>
  </si>
  <si>
    <t>16. ADQUISICIÓN DE UNIFORMES DE INVIERNO PARA EL PERSONAL MASCULINO DE LA DIRECCIÓN GENERAL DE ELECTRIFICACIÓN RURAL</t>
  </si>
  <si>
    <t>AS-0001-2019-MEM/DGER (ÍTEM N° 02)</t>
  </si>
  <si>
    <t>INDUSTRIAL GORAK S.A. R.U.C. Nº 20100306337</t>
  </si>
  <si>
    <t>17, ADQUISICIÓN DE UNIFORMES DE VERANO PARA EL PERSONAL MASCULINO DE LA DIRECCIÓN GENERAL DE ELECTRIFICACIÓN RURAL</t>
  </si>
  <si>
    <t>AS-0001-2019-MEM/DGER (ÍTEM N° 01)</t>
  </si>
  <si>
    <t xml:space="preserve">18. CONTRATACIÓN DEL SERVICIO DE "SEGURO PATRIMONIAL PARA LA DIRECCIÓN GENERAL DE ELECTRIFICACIÓN RURAL DEL MINISTERIO DE ENERGÍA Y MINAS" </t>
  </si>
  <si>
    <t>AS-0001-2018-MEM/DGER</t>
  </si>
  <si>
    <t>PACÍFICO COMPAÑÍA DE SEGUROS Y REASEGUROS S.A., R.U.C. Nº 20332970411</t>
  </si>
  <si>
    <t>19. PROGRAMA DE SEGURO INTEGRAL PARA LA DIRECCIÓN GENERAL DE ELECTRIFICACIÓN RURAL DEL MINISTERIO DE ENERGÍA Y MINAS</t>
  </si>
  <si>
    <t xml:space="preserve"> CP-0004-2016-MEM/DGER (Contrato Complementario)</t>
  </si>
  <si>
    <t>CONSORCIO PACIFICO (PACÍFICO COMPAÑÍA DE SEGUROS Y REASEGUROS S.A., y PACIFICO S.A. EMPRESA PRESTADORA DE SALUD) R.U.C. Nº 20332970411</t>
  </si>
  <si>
    <t>AÑO 2019</t>
  </si>
  <si>
    <t xml:space="preserve">1. CONTRATACIÓN DE LA SUPERVISION DE LA EJECUCION DE LA OBRA "AMPLIACION DEL SISTEMA ELECTRICO RURAL SEGUNDA ETAPA, DE LOS SECTORES DEL VALLE DE PAJARILLO, DISTRITO DE PAJARILLO - PROVINCIA DE MARISCAL CACERES - REGION SAN MARTIN" </t>
  </si>
  <si>
    <t>CP-0006-2019-MINEM/DGER</t>
  </si>
  <si>
    <t>GODOFREDO NARCISO SINCHE MAYORCA, R.U.C. Nº 10011067412</t>
  </si>
  <si>
    <t>2. SUPERVISION DE LA EJECUCIÓN DE LA OBRA "AMPLIACION DE ELECTRIFICACION RURAL EN LOS DISTRITOS DE COTABAMBAS, COYLLURQUI, HAQUIRA, TAMBOBAMBA Y MARA - COTABAMBAS - APURIMAC"</t>
  </si>
  <si>
    <t>CP-0003-2019-MINEM/DGER</t>
  </si>
  <si>
    <t>SERVICIOS DE INGENIERIA INTEGRAL S.A.C., R.U.C. Nº 20252132466</t>
  </si>
  <si>
    <t>3. ELABORACION DEL ESTUDIO DE PERFIL DEL PROYECTO AMPLIACION DE LA ELECTRIFICACION RURAL EN LAS PROVINCIAS DE DATEM DEL MARAÑON Y LORETO, REGION LORETO</t>
  </si>
  <si>
    <t>AS-0011-2019-MINEM/DGER</t>
  </si>
  <si>
    <t>DTM INGENIEROS S.A.C., R.U.C. Nº 20518635850</t>
  </si>
  <si>
    <t>4. ELABORACIÓN DEL ESTUDIO DE PERFIL  DEL PROYECTO "ELECTRIFICACIÓN RURAL EN LOCALIDADES DE LOS DISTRITOS DE NAUTA Y URANINAS, PROVINCIA DE LORETO, REGIÓN LORETO"</t>
  </si>
  <si>
    <t>AS-0015-2019-MINEM/DGER</t>
  </si>
  <si>
    <t>PRIETO INGENIEROS CONSULTORES S.A.C., R.U.C. Nº 20108432510</t>
  </si>
  <si>
    <t>5. ELABORACIÓN DEL ESTUDIO DEFINITIVO DEL PROYECTO SISTEMA ELÉCTRICO RURAL CASTROVIRREYNA III ETAPA</t>
  </si>
  <si>
    <t>AS-0008-2019-MINEM/DGER</t>
  </si>
  <si>
    <t xml:space="preserve">SERVICIOS Y REPRESENTACIONES PROFESIONALES RUBELEC S.A. </t>
  </si>
  <si>
    <t>6. ELABORACION DEL ESTUDIO DEFINITIVO DEL PROYECTO INSTALACION DE SISTEMA ELECTRICO RURAL SALLIQUE - POMAHUACA PUCARA III ETAPA.</t>
  </si>
  <si>
    <t>AS-0007-2019-MINEM/DGER</t>
  </si>
  <si>
    <t>SERVICIOS Y REPRESENTACIONES PROFESIONALES RUBELEC S.A., R.U.C.          Nº 20172889540</t>
  </si>
  <si>
    <t xml:space="preserve">7ELABORACIÓN DEL ESTUDIO DE PERFIL DEL PROYECTO “AMPLIACIÓN DEL SERVICIO DE ENERGIA ELECTRICA EN LA PROVINCIA DEL SANTA Y EN EL DISTRITO DE PAMPAROMAS – DEPARTAMENTO DE ANCASH”
</t>
  </si>
  <si>
    <t>AS-0010-2019-MINEM/DGER</t>
  </si>
  <si>
    <t>8. ELABORACIÓN DEL ESTUDIO DEFINITIVO DEL PROYECTO "CREACIÓN DEL SISTEMA ELÉCTRICO RURAL DE 10 LOCALIDADES UBICADAS - DISTRITO DE LOS BAÑOS DEL INCA-PROVINCIA DE CAJAMARCA - DEPARTAMENTO DE CAJAMARCA; DISTRITO DE JESUS - PROVINCIA DE CAJAMARCA - DEPARTAMENTO DE CAJAMARCA"</t>
  </si>
  <si>
    <t>AS-0018-2019-MINEM/DGER</t>
  </si>
  <si>
    <t>9. SUPERVISIÓN DE LA OBRA "AMPLIACIÓN DEL SUBSISTEMA DE DISTRIBUCIÓN PRIMARIA Y SECUNDARIA 22,9/0.380-0.220 KV. DE LAS LOCALIDADES MARGINALES DE LA CIUDAD DE CRUCERO, DISTRITO DE CRUCERO - CARABAYA - PUNO"</t>
  </si>
  <si>
    <t>AS-0016-2019-MINEM/DGER</t>
  </si>
  <si>
    <t>JOSE LUIS ARAUJO LOPEZ, R.U.C. Nº 10013443624</t>
  </si>
  <si>
    <t>10. SERVICIO DE DISTRIBUCIÓN DE CORRESPONDENCIA (MENSAJERÍA) PARA LA DIRECCIÓN GENERAL DE ELECTRIFICACIÓN RURAL DEL MINISTERIO DE ENERGÍA Y MINAS.</t>
  </si>
  <si>
    <t>AS-0005-2019-MINEM/DGER</t>
  </si>
  <si>
    <t>MACRO POST S.A.C., R.U.C. Nº 20387377167</t>
  </si>
  <si>
    <t xml:space="preserve"> AÑO 2019</t>
  </si>
  <si>
    <t>TOTAL PLIEGO 016 MINISTERIO DE ENERGÍA Y MINAS</t>
  </si>
  <si>
    <r>
      <t>SERVICIO DE SOPORTE Y MANTENIMIENTO DE SOFTWARE GIS</t>
    </r>
    <r>
      <rPr>
        <sz val="9"/>
        <rFont val="Calibri"/>
        <family val="2"/>
      </rPr>
      <t xml:space="preserve"> O EQUIVALENTE</t>
    </r>
  </si>
  <si>
    <t>AÑO 2021</t>
  </si>
  <si>
    <t>PLIEGO 220:  INSTITUTO PERUANO DE ENERGÍA NUCLEAR</t>
  </si>
  <si>
    <t>1. POLIZA DE RIESGO NUCLEAR</t>
  </si>
  <si>
    <t>CP-SM-4-2019-IPEN-1</t>
  </si>
  <si>
    <t xml:space="preserve"> 20100041953 - RIMAC SEGUROS Y REASEGUROS</t>
  </si>
  <si>
    <t>EN EJECUCION</t>
  </si>
  <si>
    <t>2. POLIZAS GENERALES</t>
  </si>
  <si>
    <t>3. ADQUISICION DE EQUIPOS INFORMATICOS PARA LA PLATAFORMA DE SERVIDORES DEL IPEN</t>
  </si>
  <si>
    <t>LICITACION PUBLICA</t>
  </si>
  <si>
    <t>LP-SM-1-2018-IPEN-1</t>
  </si>
  <si>
    <t>20101064515 J EVANS Y ASOCIADOS SAC</t>
  </si>
  <si>
    <t>CULMINADO</t>
  </si>
  <si>
    <t>4. CONTRATACIÓN DEL SERVICIO DE MANTENIMIENTO INTEGRAL DE SISTEMA ELECTRICO DEL REACTOR RP-10</t>
  </si>
  <si>
    <t>AS-SM-17-2019-IPEN-1</t>
  </si>
  <si>
    <t>20124280657 - TECNICA INGENIEROS S.R.L</t>
  </si>
  <si>
    <t>5. SUMINISTRO DE ENERGÍA ELÉCTRICA</t>
  </si>
  <si>
    <t>SIN PROCEDIMIENTO</t>
  </si>
  <si>
    <t>Servicio Publico</t>
  </si>
  <si>
    <t>6. CONTRATACIÓN DEL SERVICIO DE CONSULTORIA DE OBRA PARA LA ELABORACIÓN DEL EXPEDIENTE TECNICO A NIVEL DE ESTUDIO DEFINITIVO CORRESPONDIENTE AL PROYECTO DE INVERSIÓN PÚBLICA DENOMINADO: INSTALACIÓN DE UN CICLOTRON PARA PRODUCIR RADIOFARMACOS APLICABLE AL DIAGNÓSTICO ONCOLÓGICO ESPECIALIZADO A TRAVES DEL PET/TC EN LA CIUDAD DE LIMA-PERU - SNIP 65729</t>
  </si>
  <si>
    <t>CP-SM-1-2019-IPEN-1</t>
  </si>
  <si>
    <t>7. CONTRATACIÓN DEL SERVICIO DE CONSULTORIA DE OBRA PARA LA SUPERVISÓN DE LA OBRA DEL PROYECTO "MEJORAMIENTO DEL SERVICIO DE ENERGÍA ELÉCTRICA EN EL CENTRO NUCLEAR RACSO, DISTRITO DE CARABAYLLO, PROVINCIA Y DEPARTAMENTO DE LIMA" - PIP N° 2252487</t>
  </si>
  <si>
    <t>CP-SM-5-2019-IPEN-1</t>
  </si>
  <si>
    <t>20172889540 - SERV Y REPREST PROFESIONALES RUBELEC S A</t>
  </si>
  <si>
    <t>8. ADQUISICION DE UN SISTEMA DE MANDO Y CONTROL DEL SISTEMA DE VENTILACIÓN DEL RP-10/</t>
  </si>
  <si>
    <t>AS-SM-2-2019-IPEN-4</t>
  </si>
  <si>
    <t>20523268938 - INFRAESTRUCTURAS ELECTRICAS SOCIEDAD ANONIMA CERRADA</t>
  </si>
  <si>
    <t>9. ADQUISICIÓN DE EQUIPOS DE VIDEOCONFERENCIA, MULTIMEDIA Y LICENCIA DE SERVICIOS EN LA NUBE PARA EL IPEN</t>
  </si>
  <si>
    <t>AS-SM-14-2018-IPEN-2</t>
  </si>
  <si>
    <t>20602460186 - INSIGHT MEDIA S.A.C.</t>
  </si>
  <si>
    <t>10. ADQUISICIÓN DE DOS (02) VEHICULOS AUTOMOTORES, TIPO CAMIONETA PICK UP, TRACCIÓN 4X4, DOBLE CABINA CON MOTOR DIESEL</t>
  </si>
  <si>
    <t>AS-SM-9-2019-IPEN-1</t>
  </si>
  <si>
    <t xml:space="preserve"> 20160286068 - MAQUINARIAS S.A.</t>
  </si>
  <si>
    <t>11. ADQUISICION DE GASES</t>
  </si>
  <si>
    <t>AS-SM-7-2018-IPEN-1</t>
  </si>
  <si>
    <t>20382072023 AIR PRODUCTS PERU SA</t>
  </si>
  <si>
    <t>12. CONTRATACIÓN DEL SERVICIO DE REACONDICIONAMIENTO, RENOVACIÓN DE COMPONENTES Y MANTENIMIENTO GENERAL DEL SISTEMA DE VENTILACIÓN DEL EDIFICIO DEL REACTOR RP-10</t>
  </si>
  <si>
    <t>AS-SM-46-2017-IPEN-2</t>
  </si>
  <si>
    <t xml:space="preserve"> 20523268938 - INFRAESTRUCTURAS ELECTRICAS SOCIEDAD ANONIMA CERRADA</t>
  </si>
  <si>
    <t>13. ADQUISICIÓN DE UN VEHÍCULO AUTOMOTOR TIPO CAMIONETA PICK UP TRACCIÓN 4X4 DOBLE CABINA CON MOTOR DIESEL</t>
  </si>
  <si>
    <t>AS-SM-4-2019-IPEN-1</t>
  </si>
  <si>
    <t>20160286068 MAQUINARIAS SA</t>
  </si>
  <si>
    <t>14. CONTRATACION DEL SERVICIO DE SERVICIO DE MANTENIMIENTO PREVENTIVO Y CORRECTIVO DE LOS SERVICIOS HIGIÉNICOS DE LOS EDIFICIOS DEL CENTRO NUCLEAR RACSO</t>
  </si>
  <si>
    <t>AS-SM-11-2018-IPEN-4</t>
  </si>
  <si>
    <t xml:space="preserve"> 20568034164 - MALCANCHIK E.I.R.L.</t>
  </si>
  <si>
    <t>15. SERVICIO DE CONFECCIÓN E INSTALACIÓN DE ESTRUCTURA METÁLICA PARA EL TECHO DEL ESTACIONAMIENTO DE LOS OMNIBUS DEL IPEN</t>
  </si>
  <si>
    <t>AS-SM-2-2019-IPEN-1</t>
  </si>
  <si>
    <t>20523268938 INFRAESTRUCTURAS ELECTRICAS SAC</t>
  </si>
  <si>
    <t>16. SERVICIO DE CALIBRACION DOSIMETRICA DE 04 CAMARAS DE IONIZACION CON 01 ELECTROMETRO</t>
  </si>
  <si>
    <t>INTER-PROC-2-2019-IPEN-1</t>
  </si>
  <si>
    <t xml:space="preserve"> L0556211980 - PTB</t>
  </si>
  <si>
    <t>17. ADQUISICIÓN DE UN OSCILOSCOPIO DIGITAL</t>
  </si>
  <si>
    <t>AS-SM-3-2019-IPEN-1</t>
  </si>
  <si>
    <t>20519136041 INSTEC SA</t>
  </si>
  <si>
    <t>18. CONTRATACIÓN DEL SERVICIO DE CONFECCION E INSTALACION DE PROTECTORES DE VENTANAS (PARASOLES) DE LOS EDIFICIOS DE INSTALACIONES Y PLANTA DE GESTIÓN DE RESIDUOS RADIOACTIVOS DEL CENTRO NUCLEAR EN LA SEDE DE HUARANGAL</t>
  </si>
  <si>
    <t>AS-SM-1-2019-IPEN-1</t>
  </si>
  <si>
    <t>20601694850 CONSTRUCCION Y MONTAJE ROMERO SAC</t>
  </si>
  <si>
    <t>19. SERVICIO DE AUDITORIA FINANCIERA</t>
  </si>
  <si>
    <t xml:space="preserve">20112396412 JARA Y ASOCIADOS </t>
  </si>
  <si>
    <t>20. ADQUISICÓN DE DIOXIDO DE TELURO</t>
  </si>
  <si>
    <t>INTER-PROC-1-2019-IPEN-1</t>
  </si>
  <si>
    <t>L0000003691 MATERION ADVANCED CHEMICALS INC</t>
  </si>
  <si>
    <t xml:space="preserve">1. SERVICIO DE REALIZACION DE LOS EXAMENES MEDICOS OCUPACIONALES PARA LOS TRABAJADORES DEL INSTITUTO PERUANO DE ENERGIA NUCLEAR </t>
  </si>
  <si>
    <t>Adjudicación Simplificada</t>
  </si>
  <si>
    <t>2. SERVICIO DE MANTENIMIENTO CORRECTIVO DE EQUIPOS DE AIRE ACONDICIONADO DE LAS INSTALACIONES DEL INSTITUTO PERUANO DE ENERGÍA NUCLEAR</t>
  </si>
  <si>
    <t>RO/RDR</t>
  </si>
  <si>
    <t>3. SERVICIO DE TELEFONIA FIJA E INTERNET</t>
  </si>
  <si>
    <t>Concurso Público</t>
  </si>
  <si>
    <t>CP-SM-2-2020-IPEN-1</t>
  </si>
  <si>
    <t>PROCEDIMIENTO CONVOCADO</t>
  </si>
  <si>
    <t>4. SERVICIO DE PÓLIZA DE SEGUROS INSTITUCIONALES</t>
  </si>
  <si>
    <t>5. SERVICIO DE LIMPIEZA</t>
  </si>
  <si>
    <t>6. ADQUISICIÓN DE TONER Y TINTA DE IMPRESIÓN PARA EL IPEN</t>
  </si>
  <si>
    <t>Compras por catálogo (Convenio Marco)</t>
  </si>
  <si>
    <t>7. ADQUISICIÓN DE ÚTILES DE OFICINA</t>
  </si>
  <si>
    <t>8. SERVICIO DE SUMINISTRO DE POTENCIA Y ENERGIA ELECTRICA A NIVEL NACIONAL PARA EL CENTRO NUCLEAR COMO USUARIA LIBRE PARA EL PERIODO AGOSTO 2020 - JULIO 2023</t>
  </si>
  <si>
    <t>9. SERVICIO DE REPARACIÓN DE PUENTE GRÚA DEL REACTOR NUCLEAR RP-10</t>
  </si>
  <si>
    <t>10. ADQUISICIÓN DE COMBUSTIBLE DIESEL B5S 50</t>
  </si>
  <si>
    <t>Subasta Inversa Electrónica</t>
  </si>
  <si>
    <t>SIE-SIE-1-2020-IPEN-1</t>
  </si>
  <si>
    <t>CONSENTIMIENTO BUENA PRO</t>
  </si>
  <si>
    <t>11. ADQUISICIÓN E INSTALACIÓN DE DOS (2) GRUPOS GENERADORES DE EMERGENCIA PARA LA PPRR Y EL REACTOR RP-10</t>
  </si>
  <si>
    <t>12. SERVICIO DE CONSULTORIA DE OBRA PARA LA SUPERVISIÓN DE LA ELABORACIÓN DEL EXPEDIENTE TECNICO DEL PROYECTO: INSTALACIÓN DE UN CICLOTRON PARA PRODUCIR RADIOFÁRMACOS APLICABLE AL DIAGNOSTICO ONCOLÓGICO ESPECIALIZADO A TRAVES DE PET / TC EN LA CIUDAD DE LIMA , PERÚ, CÓDIGO SNIP N 65729</t>
  </si>
  <si>
    <t xml:space="preserve">Adjudicación </t>
  </si>
  <si>
    <t>13. ADQUISICIÓN E INSTALACIÓN DE EQUIPOS Y COMPONENTES DE SEGURIDAD ELECTRÓNICA DEL INSTITUTO PERUANO DE ENERGÍA NUCLEAR</t>
  </si>
  <si>
    <t>14. EJECUCIÓN DE OBRA DEL SISTEMA DE SUMINISTRO DE AGUA CONTRA INCENDIO DEL CENTRO NUCLEAR RACSO-IPEN</t>
  </si>
  <si>
    <t>Licitación Pública</t>
  </si>
  <si>
    <t>15. SERVICIO DE MONITOREO OCUPACIONAL DE AGENTES FISICOS QUIMICOS BIOLÓGICOS PSICOLÓGICOS Y FACTORES DE RIESGO DISERGONOMICO DEL IPEN</t>
  </si>
  <si>
    <t xml:space="preserve">16. SERVICIO ADECUACIÓN DEL SISTEMA DE DUCTOS Y COMPONENTES PARA EL TRANSVASE Y TRATAMIENTO DE LÍQUIDOS ACTIVOS DESDE EL RP-10 Y PPR A LA PGRR </t>
  </si>
  <si>
    <t>17. SERVICIO DE CONSULTORIA DE OBRA PARA LA SUPERVISIÓN DE LA ELABORACIÓN DEL EXPEDIENTE TÉCNICO DEL PROYECTO MEJORAMIENTO DEL SERVICIO DE MEDICIÓN Y CALIBRACIÓN DOSIMÉTRICA EN EL LABORATORIO SECUNDARIO DE CALIBRACIONES DOSIMÉTRICAS  LSCD DEL INSTITUTO PERUANO DE ENERGÍA NUCLEAR</t>
  </si>
  <si>
    <t>18. Servicio de transporte y desaduanaje de Fuentes de Co-60</t>
  </si>
  <si>
    <t>Contratacion Internacional</t>
  </si>
  <si>
    <t>INTER-PROC-1-2020-IPEN-1</t>
  </si>
  <si>
    <t>L0556212673 - FOSS THERAPY SERVICES, INC</t>
  </si>
  <si>
    <t>19. ADQUISICION DE DIOXIDO DE TELURO</t>
  </si>
  <si>
    <t>INTER-PROC-2-2020-IPEN-1</t>
  </si>
  <si>
    <t>L0000003691 - MATERION ADVANCED CHEMICALS INC</t>
  </si>
  <si>
    <t xml:space="preserve">20. ADQUISICION DE MICROGERINGAS 1.2 uL
</t>
  </si>
  <si>
    <t xml:space="preserve"> INTER-PROC-3-2020-IPEN-1</t>
  </si>
  <si>
    <t>L0556212726 - ISOSPARK</t>
  </si>
  <si>
    <t>1. SUMINISTRO DE ENERGÍA ELÉCTRICA</t>
  </si>
  <si>
    <t>2. SUMINISTRO DE AGUA POTABLE Y DESAGUE</t>
  </si>
  <si>
    <t>3. TELEFONÍA FIJA, INTERNET Y DATOS</t>
  </si>
  <si>
    <t>4. TONER Y SUMINISTRO DE IMPRESIÓN</t>
  </si>
  <si>
    <t>5. MATERIALES DE ESCRITORIO</t>
  </si>
  <si>
    <t>6. MATERIALES DE ELECTRICIDAD Y ELECTRÓNICA</t>
  </si>
  <si>
    <t>7. MATERIALES DE LABORATORIO</t>
  </si>
  <si>
    <t>8. MATERIALES PARA MANTENIMIENTO DE EQUIPOS</t>
  </si>
  <si>
    <t>9. ADQUISICION DE HERRAMIENTAS</t>
  </si>
  <si>
    <t>10. MATERIALES PARA LABORATORIO</t>
  </si>
  <si>
    <t>11. ADQUISICIÓN DE PRODUCTOS QUIMICOS</t>
  </si>
  <si>
    <t>12. VIATICOS POR COMISIONES DE SERVICIO</t>
  </si>
  <si>
    <t>13. SERVICIO DE MANTENIMIENTO DE VEHÍCULOS</t>
  </si>
  <si>
    <t>14. SERVICIO DE MANTENIMIENTO DE EQUIPOS</t>
  </si>
  <si>
    <t>15. SERVICIO DE AUDITORIA FINANCIERA</t>
  </si>
  <si>
    <t>16. SERVICIO DE CAPACITACIONES</t>
  </si>
  <si>
    <t>17. HONORARIOS POR DOCENCIA</t>
  </si>
  <si>
    <t>18. SERVICIO DE CALIBRACION DE EQUIPOS</t>
  </si>
  <si>
    <t>19. IMPORTACION DE DIOXIDO DE TELURO</t>
  </si>
  <si>
    <t>20. ADQUISICION DE FILTROS DE AIRE PARA LABORATORIO</t>
  </si>
  <si>
    <t>TOTAL PLIEGO 220 IPEN</t>
  </si>
  <si>
    <t>TOTAL PLIEGO 221 INGEMMET</t>
  </si>
  <si>
    <t>1. ADQUISICIÓN DE UNIFORMES DE INVIERNO PARA EL PERSONAL MASCULINO DE LA DIRECCIÓN GENERAL DE ELECTRIFICACIÓN RURAL</t>
  </si>
  <si>
    <t>POR INICIAR</t>
  </si>
  <si>
    <t>2. ADQUISICIÓN DE UNIFORMES DE VERANO PARA EL PERSONAL MASCULINO DE LA DIRECCIÓN GENERAL DE ELECTRIFICACIÓN RURAL</t>
  </si>
  <si>
    <t>3. SERVICIO DE DISTRIBUCIÓN DE CORRESPONDENCIA (MENSAJERÍA) PARA LA DIRECCIÓN GENERAL DE ELECTRIFICACIÓN RURAL DEL MINISTERIO DE ENERGÍA Y MINAS.</t>
  </si>
  <si>
    <t>4. CONTRATACIÓN DEL PROGRAMA DE SEGURO INTEGRAL PARA LA DIRECCIÓN GENERAL DE ELECTRIFICACIÓN RURAL DEL MINISTERIO DE ENERGÍA Y MINAS</t>
  </si>
  <si>
    <t>20106636011</t>
  </si>
  <si>
    <t>ADQUISCION DE PAPEL BOND A4</t>
  </si>
  <si>
    <t>20602414443</t>
  </si>
  <si>
    <t xml:space="preserve">L0000004915 / L0000001136 / L0556212658 / L0556212594  / L0556212595 / L0000004976 </t>
  </si>
  <si>
    <t>SERVICIOS PARA LA SUSCRIPCION DE BASE DE DATOS ESPECIALIZADA</t>
  </si>
  <si>
    <t xml:space="preserve">L0000004898 / L0000003598 / L0556212693 </t>
  </si>
  <si>
    <t xml:space="preserve">20605731733 </t>
  </si>
  <si>
    <t>20521268191</t>
  </si>
  <si>
    <t xml:space="preserve">20601836964 </t>
  </si>
  <si>
    <t>DE ACUERDO AL PROCESO JUDICIAL</t>
  </si>
  <si>
    <t xml:space="preserve">10085260630 </t>
  </si>
  <si>
    <t xml:space="preserve">L0556212951 </t>
  </si>
  <si>
    <t xml:space="preserve">20514853780 / 20389359841 </t>
  </si>
  <si>
    <t>CONTRATACIÓN DEL SERVICIO DE MANTENIMIENTO PREVENTIVO Y CORRECTIVO DE LA FLOTA VEHICULAR DEL MINISTERIO DE ENERGÍA Y MINAS</t>
  </si>
  <si>
    <t>SERVICIO DE EXAMENES MEDICOS OCUPACIONALES ACORDE CON LOS RIESGOS A LOS QUE ESTAN EXPUESTOS LOS TRABAJADORES DEL MINISTERIO DE ENERGIA Y MINAS</t>
  </si>
  <si>
    <t>SERVICIO DE RENOVACION DE SOPORTE TECNICO Y ACTUALIZACIONES DE LOS PRODUCTOS ORACLE PARA EL MINEM</t>
  </si>
  <si>
    <t>SERVICIO DE SOPORTE TECNICO Y ACTUALIZACION DE LOS PRODUCTOS DEL SOFTWARE DE GESTIÓN DOCUMENTAL LASERFICHE PARA EL MINEM</t>
  </si>
  <si>
    <t xml:space="preserve">20347408108 / 20348511824 </t>
  </si>
  <si>
    <t xml:space="preserve">20112565036 / 20536750003 / 20501610217 </t>
  </si>
  <si>
    <t xml:space="preserve">20202380621  / 20100041953 </t>
  </si>
  <si>
    <t xml:space="preserve">L0000005928 </t>
  </si>
  <si>
    <t xml:space="preserve">L0000004925 </t>
  </si>
  <si>
    <t xml:space="preserve">L0000004976 </t>
  </si>
  <si>
    <t>20552630191 / 20125412875 / 20125412875 /  20600679091 / 20541190385</t>
  </si>
  <si>
    <t xml:space="preserve">20523806182 / 20601640636 / 20523806182   </t>
  </si>
  <si>
    <t xml:space="preserve">L0000003598 </t>
  </si>
  <si>
    <t xml:space="preserve">20503009782 / 20503009782 / 20503009782 / 20503009782 </t>
  </si>
  <si>
    <t xml:space="preserve">L0556211974 </t>
  </si>
  <si>
    <t xml:space="preserve">L0556212161 </t>
  </si>
  <si>
    <t xml:space="preserve">20551711812 / 20106636011 </t>
  </si>
  <si>
    <t xml:space="preserve">L0000000247 </t>
  </si>
  <si>
    <t xml:space="preserve">L0556212383 </t>
  </si>
  <si>
    <t xml:space="preserve">10257807776  / 10094183087 / 10411512776 </t>
  </si>
  <si>
    <t>20519865476 / 20601640636 / 20556796140 / 20508934565 / 20523806182 / 20541190385 / 20481682721 / 20600009479 / 20541190385 / 1-20494879329</t>
  </si>
  <si>
    <t xml:space="preserve">L0000006254 </t>
  </si>
  <si>
    <t xml:space="preserve">L0000004915 </t>
  </si>
  <si>
    <t xml:space="preserve">L0000001136 </t>
  </si>
  <si>
    <t xml:space="preserve">L0000001135 </t>
  </si>
  <si>
    <t xml:space="preserve">SERVICIO DE MENSAJERÍA EXTERNA A NIVEL LOCAL Y NACIONAL PARA EL MINISTERIO DE ENERGÍA Y MINAS </t>
  </si>
  <si>
    <t>CONTRATACIÓN DE UNA ENTIDAD EDUCATIVA PARA LA EJECUCIÓN DEL PROGRAMA DE PASANTÍAS MINERAS PARA LÍDERES DE CENTROS POBLADOS ANEXOS, CASERÍOS Y COMUNIDADES CERCANAS EN DONDE SE REALIZA O SE TIENE PLANIFICADO REALIZAR ACTIVIDAD MINERA</t>
  </si>
  <si>
    <t>SERVICIO DE RENOVACIÓN DE SOPORTE Y MANTENIMIENTO DE LOS PRODUCTOS MICROSOFT PARA EL MINISTERIO DE ENERGÍA Y MINAS</t>
  </si>
  <si>
    <t>SERVICIO DE ALQUILER DE SALÓN DE REUNIONES Y CATERING PARA EL EVENTO PERUVIAN COCKTAIL EN EL MARCO DEL EVENTO INTERNACIONAL PDAC 2021</t>
  </si>
  <si>
    <t>SERVICIO DE ALQUILER DE EQUIPOS DE AUDIO Y VIDEO PARA LAS ACTIVIDADES DEL PROGRAMA Y CONFERENCIAS PERUANAS EN EL MARCO DEL EVENTO PDAC 2021</t>
  </si>
  <si>
    <t>SERVICIO DE ALQUILER DE MODULO DE EXHIBICION (STANDS) DEL PERUMIN 35 CONVENCION MINERA 2021</t>
  </si>
  <si>
    <t>SERVICIO DE DECORACION  DE MODULO DE EXHIBICION (STANDS) DEL PERUMIN 35 CONVENCION MINERA 2021</t>
  </si>
  <si>
    <t>SUSCRIPCIÓN ANUAL STANDARD&amp; POORS S&amp;P</t>
  </si>
  <si>
    <t>SUSCRIPCIÓN ANUAL CRU</t>
  </si>
  <si>
    <t>IMPLEMENTACIÓN PARA LA VENTANILLA ÚNICA DIGITAL (ESTUDIOS DE PRE INVERSIÓN)</t>
  </si>
  <si>
    <t>CONTRATACIÓN DE SERVICIOS PARA LA REALIZACIÓN DE ACTIVIDADES VINCULADAS A LA IMPLEMENTACIÓN DE LA VENTANILLA ÚNICA (EVALUACIÓN DE LOS ESTUDIOS DE PRE INVERSIÓN)</t>
  </si>
  <si>
    <t>IMPLEMENTACIÓN PARA LA VENTANILLA ÚNICA DIGITAL (EJECUCIÓN DEL PROYECTO)</t>
  </si>
  <si>
    <t>CONTRATACIÓN DE SERVICIOS PARA LA REALIZACIÓN DE ACTIVIDADES VINCULADAS A LA IMPLEMENTACIÓN DE LA VENTANILLA ÚNICA (SUOERVISIÓN DE LA EJECUCIÓN DEL PROYECTO)</t>
  </si>
  <si>
    <t xml:space="preserve">CONTRATACIÓN DE SERVICIOS PARA LA REALIZACIÓN DE ACTIVIDADES VINCULADAS A LOS PROCEDIMIENTOS ADMINISTRATIVOS SANCIONADORES </t>
  </si>
  <si>
    <t>SERVICIO PARA LA ORGANIZACIÓN DEL EVENTO RELACIONADO AL LITIO</t>
  </si>
  <si>
    <t>CONSULTORIA RELACIONADA A LA LEY DE CIERRE DE MINAS</t>
  </si>
  <si>
    <t>CONSULTORIA RELACIONADA A SERVIDUMBRE MINERA</t>
  </si>
  <si>
    <t>CONSULTORIA RELACIONADA A CRÉDITOS CONCURSALES</t>
  </si>
  <si>
    <t>ESTRUCTURACIÓN Y CAPACITACIÓN PARA LA IMPLEMENTACIÓN DE UNA BASE DE DATOS EN SQL PARA LA GESTIÓN DE PAM</t>
  </si>
  <si>
    <t>ESTRUCTURACIÓN Y CAPACITACIÓN PARA LA IMPLEMENTACIÓN DE UNA BASE DE DATOS GIS PARA LA GESTIÓN DE PAM</t>
  </si>
  <si>
    <t>CONSULTORÍA PARA LA ASISTENCIA DE IDENTIFICACIÓN DE PAM DE ATENCIÓN PRIORITARIA EN LA REGIÓN APURIMAC</t>
  </si>
  <si>
    <t>CONSULTORÍA PARA LA ASISTENCIA DE IDENTIFICACIÓN DE PAM DE ATENCIÓN PRIORITARIA EN LA REGIÓN JUNÍN</t>
  </si>
  <si>
    <t>CONSULTORÍA PARA LA ASISTENCIA DE IDENTIFICACIÓN DE PAM DE ATENCIÓN PRIORITARIA EN LA REGIÓN HUANCAVELICA</t>
  </si>
  <si>
    <t>ANÁLISIS, INTERPRETACIÓN Y APLICACIÓN DEL MARCO LEGAL QUE RIGE LA IDENTIFICACIÓN GENERADORES Y/O RESPONSABLES DE PAM PARA LA APLICACIÓN DEL PROCEDIMIENTO ADMINISTRATIVO SANCIONADOR POR INCUMPLIMIENTO DE PRESENTACIÓN DE IGA CORRESPONDIENTE</t>
  </si>
  <si>
    <t>ANÁLISIS, INTERPRETACIÓN Y APLICACIÓN DEL MARCO LEGAL PARA LA APLICACIÓN DEL DERECHO DE REPETICIÓN A FAVOR DEL ESTADO</t>
  </si>
  <si>
    <t>SERVICIO DE SEGUIMIENTO Y VERIFICACIÓN DE PROYECTOS DE REMEDIACIÓN ENCARGADOS A AMSAC EN DIFERENTES REGIONES DEL PAÍS.</t>
  </si>
  <si>
    <t>SERVICIO DE DESARROLLO E IMPLEMENTACIÓN DEL NUEVO SISTEMA DE GESTIÓN DE PASIVOS AMBIENTALES MINEROS CORRESPONDIENTES A LOS MÓDULOS DE LAFASE II, III Y IV DE LA GESTIÓN DE PASIVOS AMBIENTALES MINEROS</t>
  </si>
  <si>
    <t>UNIDAD EJECUTORA 005: DIRECCIÓN GENERAL DE ELECTRIFICACIÓN RURAL - DGER.</t>
  </si>
  <si>
    <t>CONSEJO DIRECTIVO</t>
  </si>
  <si>
    <t>PRACTICAS PROFESIONALES</t>
  </si>
  <si>
    <t>PRACTICAS PRE PROFESIONALES</t>
  </si>
  <si>
    <t>F-7 (Judiciales)</t>
  </si>
  <si>
    <t>CONTRATO A PLAZO INDETERMINADO Y REMIGEN LABORAL PRIVADO</t>
  </si>
  <si>
    <t xml:space="preserve">      0046. Acceso y Uso de la Electrificación Rural </t>
  </si>
  <si>
    <t xml:space="preserve">      0068. Reducción de Vulnerabilidad y Atención de Emergencias por Desastres</t>
  </si>
  <si>
    <t xml:space="preserve">      0126. Formalización Minera de la Pequeña Mineria y Minería Artesanal</t>
  </si>
  <si>
    <t xml:space="preserve">      0120. Remediación de Pasivos Ambientales Mineros</t>
  </si>
  <si>
    <t xml:space="preserve">      0128. Reducción de la Minería Ilegal</t>
  </si>
  <si>
    <t xml:space="preserve">      0137. Desarrollo de la Ciencia, Tecnología e Innovación Tecnológica</t>
  </si>
  <si>
    <t>Resultado 30 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</si>
</sst>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280A]d&quot; de &quot;mmmm&quot; de &quot;yyyy;@"/>
    <numFmt numFmtId="165" formatCode="_-* #,##0_-;\-* #,##0_-;_-* &quot;-&quot;??_-;_-@_-"/>
    <numFmt numFmtId="166" formatCode="0.0%"/>
    <numFmt numFmtId="167" formatCode="dd/mm/yyyy;@"/>
    <numFmt numFmtId="168" formatCode="#,##0.00_ ;\-#,##0.00\ "/>
    <numFmt numFmtId="169" formatCode="[$-C0A]d\-mmm;@"/>
    <numFmt numFmtId="170" formatCode="dd/mm/yy;@"/>
    <numFmt numFmtId="171" formatCode="_ * #,##0.00_ ;_ * \-#,##0.00_ ;_ * &quot;-&quot;??_ ;_ @_ "/>
    <numFmt numFmtId="172" formatCode="_ * #,##0_ ;_ * \-#,##0_ ;_ * &quot;-&quot;??_ ;_ @_ "/>
    <numFmt numFmtId="173" formatCode="&quot;S/&quot;#,##0.00"/>
    <numFmt numFmtId="174" formatCode="&quot;S/.&quot;\ #,##0.00"/>
  </numFmts>
  <fonts count="65">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Narrow"/>
      <family val="2"/>
    </font>
    <font>
      <sz val="10"/>
      <name val="Arial"/>
      <family val="2"/>
    </font>
    <font>
      <b/>
      <sz val="8"/>
      <name val="Arial"/>
      <family val="2"/>
    </font>
    <font>
      <sz val="10"/>
      <name val="Courier"/>
      <family val="3"/>
    </font>
    <font>
      <b/>
      <sz val="12"/>
      <name val="Arial"/>
      <family val="2"/>
    </font>
    <font>
      <sz val="9"/>
      <name val="Arial"/>
      <family val="2"/>
    </font>
    <font>
      <b/>
      <sz val="9"/>
      <name val="Arial"/>
      <family val="2"/>
    </font>
    <font>
      <sz val="8"/>
      <name val="Arial"/>
      <family val="2"/>
    </font>
    <font>
      <b/>
      <sz val="9"/>
      <color indexed="8"/>
      <name val="Arial"/>
      <family val="2"/>
    </font>
    <font>
      <sz val="9"/>
      <color indexed="32"/>
      <name val="Arial"/>
      <family val="2"/>
    </font>
    <font>
      <sz val="9"/>
      <color indexed="8"/>
      <name val="Arial"/>
      <family val="2"/>
    </font>
    <font>
      <sz val="12"/>
      <name val="Arial"/>
      <family val="2"/>
    </font>
    <font>
      <sz val="8"/>
      <name val="Calibri"/>
      <family val="2"/>
      <scheme val="minor"/>
    </font>
    <font>
      <b/>
      <sz val="8"/>
      <name val="Calibri"/>
      <family val="2"/>
      <scheme val="minor"/>
    </font>
    <font>
      <sz val="8"/>
      <color indexed="8"/>
      <name val="Arial"/>
      <family val="2"/>
    </font>
    <font>
      <b/>
      <u/>
      <sz val="8"/>
      <name val="Arial"/>
      <family val="2"/>
    </font>
    <font>
      <sz val="10"/>
      <name val="Arial"/>
      <family val="2"/>
    </font>
    <font>
      <b/>
      <sz val="9"/>
      <name val="Tahoma"/>
      <family val="2"/>
    </font>
    <font>
      <sz val="9"/>
      <name val="Tahoma"/>
      <family val="2"/>
    </font>
    <font>
      <sz val="9"/>
      <color indexed="32"/>
      <name val="Tahoma"/>
      <family val="2"/>
    </font>
    <font>
      <b/>
      <sz val="8"/>
      <name val="Tahoma"/>
      <family val="2"/>
    </font>
    <font>
      <sz val="10"/>
      <name val="Tahoma"/>
      <family val="2"/>
    </font>
    <font>
      <sz val="9"/>
      <color rgb="FF002060"/>
      <name val="Arial"/>
      <family val="2"/>
    </font>
    <font>
      <b/>
      <sz val="11"/>
      <color rgb="FF002060"/>
      <name val="Arial"/>
      <family val="2"/>
    </font>
    <font>
      <sz val="8"/>
      <color indexed="81"/>
      <name val="Tahoma"/>
      <family val="2"/>
    </font>
    <font>
      <sz val="8"/>
      <color indexed="64"/>
      <name val="Arial"/>
      <family val="2"/>
    </font>
    <font>
      <sz val="8"/>
      <name val="Tahoma"/>
      <family val="2"/>
    </font>
    <font>
      <sz val="8"/>
      <color indexed="8"/>
      <name val="Tahoma"/>
      <family val="2"/>
    </font>
    <font>
      <sz val="8"/>
      <color indexed="64"/>
      <name val="Tahoma"/>
      <family val="2"/>
    </font>
    <font>
      <b/>
      <sz val="8"/>
      <color indexed="8"/>
      <name val="Arial"/>
      <family val="2"/>
    </font>
    <font>
      <sz val="8"/>
      <name val="Calibri"/>
      <family val="2"/>
    </font>
    <font>
      <b/>
      <sz val="8"/>
      <name val="Calibri"/>
      <family val="2"/>
    </font>
    <font>
      <sz val="8"/>
      <color theme="0"/>
      <name val="Arial"/>
      <family val="2"/>
    </font>
    <font>
      <sz val="9"/>
      <color theme="0"/>
      <name val="Tahoma"/>
      <family val="2"/>
    </font>
    <font>
      <sz val="8"/>
      <color theme="0"/>
      <name val="Tahoma"/>
      <family val="2"/>
    </font>
    <font>
      <b/>
      <sz val="8"/>
      <color theme="0"/>
      <name val="Arial"/>
      <family val="2"/>
    </font>
    <font>
      <b/>
      <sz val="9"/>
      <color theme="0"/>
      <name val="Tahoma"/>
      <family val="2"/>
    </font>
    <font>
      <b/>
      <sz val="8"/>
      <color theme="0"/>
      <name val="Tahoma"/>
      <family val="2"/>
    </font>
    <font>
      <sz val="8"/>
      <color rgb="FF333333"/>
      <name val="Tahoma"/>
      <family val="2"/>
    </font>
    <font>
      <sz val="10"/>
      <name val="Calibri"/>
      <family val="2"/>
    </font>
    <font>
      <sz val="10"/>
      <name val="Calibri"/>
      <family val="2"/>
      <scheme val="minor"/>
    </font>
    <font>
      <sz val="10"/>
      <color theme="1"/>
      <name val="Calibri"/>
      <family val="2"/>
      <scheme val="minor"/>
    </font>
    <font>
      <b/>
      <sz val="10"/>
      <name val="Calibri"/>
      <family val="2"/>
      <scheme val="minor"/>
    </font>
    <font>
      <b/>
      <sz val="10"/>
      <name val="Calibri"/>
      <family val="2"/>
    </font>
    <font>
      <sz val="11"/>
      <color indexed="8"/>
      <name val="Calibri"/>
      <family val="2"/>
    </font>
    <font>
      <b/>
      <sz val="9"/>
      <name val="Calibri"/>
      <family val="2"/>
    </font>
    <font>
      <sz val="9"/>
      <name val="Calibri"/>
      <family val="2"/>
    </font>
    <font>
      <sz val="9"/>
      <color rgb="FF000000"/>
      <name val="Calibri"/>
      <family val="2"/>
    </font>
    <font>
      <sz val="9"/>
      <color theme="1"/>
      <name val="Calibri"/>
      <family val="2"/>
    </font>
    <font>
      <b/>
      <sz val="9"/>
      <color rgb="FF002060"/>
      <name val="Calibri"/>
      <family val="2"/>
    </font>
    <font>
      <b/>
      <sz val="11"/>
      <name val="Calibri"/>
      <family val="2"/>
    </font>
    <font>
      <sz val="8"/>
      <color rgb="FF333333"/>
      <name val="Calibri"/>
      <family val="2"/>
    </font>
    <font>
      <b/>
      <sz val="12"/>
      <name val="Calibri"/>
      <family val="2"/>
    </font>
    <font>
      <sz val="12"/>
      <name val="Calibri"/>
      <family val="2"/>
    </font>
    <font>
      <sz val="10"/>
      <name val="Arial"/>
      <family val="2"/>
    </font>
    <font>
      <sz val="9"/>
      <color indexed="10"/>
      <name val="Geneva"/>
    </font>
    <font>
      <sz val="11"/>
      <color theme="1"/>
      <name val="Calibri"/>
      <family val="2"/>
      <charset val="128"/>
      <scheme val="minor"/>
    </font>
    <font>
      <sz val="11"/>
      <color indexed="8"/>
      <name val="Calibri"/>
      <family val="2"/>
      <scheme val="minor"/>
    </font>
  </fonts>
  <fills count="14">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theme="9"/>
        <bgColor indexed="64"/>
      </patternFill>
    </fill>
    <fill>
      <patternFill patternType="solid">
        <fgColor theme="0" tint="-4.9989318521683403E-2"/>
        <bgColor indexed="64"/>
      </patternFill>
    </fill>
    <fill>
      <patternFill patternType="solid">
        <fgColor indexed="9"/>
        <bgColor indexed="64"/>
      </patternFill>
    </fill>
    <fill>
      <patternFill patternType="solid">
        <fgColor rgb="FFFFFFFF"/>
        <bgColor indexed="64"/>
      </patternFill>
    </fill>
    <fill>
      <patternFill patternType="solid">
        <fgColor rgb="FFFFFFFF"/>
      </patternFill>
    </fill>
    <fill>
      <patternFill patternType="solid">
        <fgColor theme="0" tint="-0.14996795556505021"/>
        <bgColor indexed="64"/>
      </patternFill>
    </fill>
  </fills>
  <borders count="132">
    <border>
      <left/>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ck">
        <color indexed="64"/>
      </bottom>
      <diagonal/>
    </border>
    <border>
      <left style="medium">
        <color indexed="64"/>
      </left>
      <right style="thin">
        <color indexed="64"/>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medium">
        <color indexed="64"/>
      </right>
      <top/>
      <bottom style="thick">
        <color indexed="64"/>
      </bottom>
      <diagonal/>
    </border>
    <border>
      <left style="thin">
        <color indexed="64"/>
      </left>
      <right style="thin">
        <color indexed="64"/>
      </right>
      <top/>
      <bottom style="thick">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thin">
        <color indexed="64"/>
      </bottom>
      <diagonal/>
    </border>
    <border>
      <left/>
      <right/>
      <top style="thin">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thin">
        <color indexed="64"/>
      </top>
      <bottom/>
      <diagonal/>
    </border>
    <border>
      <left style="thin">
        <color indexed="64"/>
      </left>
      <right style="thin">
        <color theme="0" tint="-0.34998626667073579"/>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thin">
        <color indexed="64"/>
      </right>
      <top style="hair">
        <color indexed="64"/>
      </top>
      <bottom/>
      <diagonal/>
    </border>
  </borders>
  <cellStyleXfs count="64">
    <xf numFmtId="0" fontId="0" fillId="0" borderId="0"/>
    <xf numFmtId="0" fontId="7" fillId="0" borderId="0"/>
    <xf numFmtId="0" fontId="7" fillId="0" borderId="0"/>
    <xf numFmtId="49" fontId="10" fillId="0" borderId="0"/>
    <xf numFmtId="0" fontId="4" fillId="0" borderId="0"/>
    <xf numFmtId="43" fontId="23" fillId="0" borderId="0" applyFont="0" applyFill="0" applyBorder="0" applyAlignment="0" applyProtection="0"/>
    <xf numFmtId="9"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xf numFmtId="171"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0" fontId="4" fillId="0" borderId="0"/>
    <xf numFmtId="0" fontId="3" fillId="0" borderId="0"/>
    <xf numFmtId="43" fontId="4" fillId="0" borderId="0" applyFont="0" applyFill="0" applyBorder="0" applyAlignment="0" applyProtection="0"/>
    <xf numFmtId="43" fontId="4" fillId="0" borderId="0" applyFont="0" applyFill="0" applyBorder="0" applyAlignment="0" applyProtection="0"/>
    <xf numFmtId="171" fontId="4" fillId="0" borderId="0" applyFont="0" applyFill="0" applyBorder="0" applyAlignment="0" applyProtection="0"/>
    <xf numFmtId="43" fontId="4" fillId="0" borderId="0" applyFont="0" applyFill="0" applyBorder="0" applyAlignment="0" applyProtection="0"/>
    <xf numFmtId="171"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3" fillId="0" borderId="0"/>
    <xf numFmtId="0" fontId="3" fillId="0" borderId="0"/>
    <xf numFmtId="0" fontId="3" fillId="0" borderId="0"/>
    <xf numFmtId="0" fontId="4" fillId="0" borderId="0"/>
    <xf numFmtId="0" fontId="4" fillId="0" borderId="0"/>
    <xf numFmtId="9" fontId="4" fillId="0" borderId="0" applyFont="0" applyFill="0" applyBorder="0" applyAlignment="0" applyProtection="0"/>
    <xf numFmtId="0" fontId="3" fillId="0" borderId="0"/>
    <xf numFmtId="171" fontId="51"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2" fillId="0" borderId="0"/>
    <xf numFmtId="171" fontId="1" fillId="0" borderId="0" applyFont="0" applyFill="0" applyBorder="0" applyAlignment="0" applyProtection="0"/>
    <xf numFmtId="43" fontId="6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63" fillId="0" borderId="0">
      <alignment vertical="center"/>
    </xf>
    <xf numFmtId="0" fontId="1" fillId="0" borderId="0"/>
    <xf numFmtId="0" fontId="1" fillId="0" borderId="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1" fillId="0" borderId="0"/>
    <xf numFmtId="0" fontId="64" fillId="0" borderId="0"/>
    <xf numFmtId="0" fontId="4" fillId="0" borderId="0"/>
  </cellStyleXfs>
  <cellXfs count="1781">
    <xf numFmtId="0" fontId="0" fillId="0" borderId="0" xfId="0"/>
    <xf numFmtId="0" fontId="12" fillId="0" borderId="0" xfId="0" applyFont="1"/>
    <xf numFmtId="0" fontId="12" fillId="0" borderId="0" xfId="0" applyFont="1" applyFill="1"/>
    <xf numFmtId="0" fontId="13" fillId="0" borderId="0" xfId="0" applyFont="1" applyFill="1" applyAlignment="1">
      <alignment horizontal="center"/>
    </xf>
    <xf numFmtId="164" fontId="12" fillId="0" borderId="0" xfId="0" applyNumberFormat="1" applyFont="1"/>
    <xf numFmtId="0" fontId="12" fillId="0" borderId="0" xfId="0" applyFont="1" applyAlignment="1">
      <alignment wrapText="1"/>
    </xf>
    <xf numFmtId="0" fontId="12" fillId="0" borderId="0" xfId="2" applyFont="1" applyFill="1" applyBorder="1" applyAlignment="1">
      <alignment vertical="center"/>
    </xf>
    <xf numFmtId="0" fontId="12" fillId="0" borderId="0" xfId="0" applyFont="1" applyAlignment="1">
      <alignment horizontal="center" wrapText="1"/>
    </xf>
    <xf numFmtId="0" fontId="13" fillId="0" borderId="0" xfId="0" applyFont="1" applyAlignment="1">
      <alignment horizontal="center" textRotation="90" wrapText="1"/>
    </xf>
    <xf numFmtId="0" fontId="5" fillId="0" borderId="0" xfId="0" applyFont="1"/>
    <xf numFmtId="0" fontId="12" fillId="0" borderId="0" xfId="0" applyFont="1"/>
    <xf numFmtId="0" fontId="13" fillId="0" borderId="0" xfId="0" applyFont="1" applyFill="1"/>
    <xf numFmtId="0" fontId="12" fillId="0" borderId="0" xfId="0" applyFont="1"/>
    <xf numFmtId="0" fontId="13" fillId="5" borderId="0" xfId="2" applyFont="1" applyFill="1" applyAlignment="1">
      <alignment vertical="center"/>
    </xf>
    <xf numFmtId="0" fontId="11" fillId="4" borderId="0" xfId="0" applyFont="1" applyFill="1" applyAlignment="1">
      <alignment vertical="center"/>
    </xf>
    <xf numFmtId="0" fontId="18" fillId="4" borderId="0" xfId="0" applyFont="1" applyFill="1" applyAlignment="1">
      <alignment vertical="center" wrapText="1"/>
    </xf>
    <xf numFmtId="0" fontId="18" fillId="4" borderId="0" xfId="0" applyFont="1" applyFill="1" applyAlignment="1">
      <alignment vertical="center"/>
    </xf>
    <xf numFmtId="0" fontId="0" fillId="0" borderId="0" xfId="0" applyAlignment="1">
      <alignment vertical="center"/>
    </xf>
    <xf numFmtId="0" fontId="0" fillId="0" borderId="0" xfId="0" applyAlignment="1">
      <alignment vertical="center" wrapText="1"/>
    </xf>
    <xf numFmtId="0" fontId="8" fillId="0" borderId="0" xfId="0" applyFont="1" applyAlignment="1">
      <alignment vertical="center"/>
    </xf>
    <xf numFmtId="0" fontId="6" fillId="0" borderId="0" xfId="0" applyFont="1" applyAlignment="1">
      <alignment vertical="center"/>
    </xf>
    <xf numFmtId="0" fontId="18" fillId="0" borderId="0" xfId="0" applyFont="1" applyFill="1" applyAlignment="1">
      <alignment vertical="center"/>
    </xf>
    <xf numFmtId="0" fontId="0" fillId="0" borderId="0" xfId="0" applyFill="1" applyAlignment="1">
      <alignment vertical="center"/>
    </xf>
    <xf numFmtId="0" fontId="8" fillId="0" borderId="0" xfId="0" applyFont="1" applyFill="1" applyAlignment="1">
      <alignment vertical="center"/>
    </xf>
    <xf numFmtId="0" fontId="12" fillId="0" borderId="0" xfId="0" applyFont="1"/>
    <xf numFmtId="0" fontId="13" fillId="0" borderId="0" xfId="2" applyFont="1" applyFill="1" applyAlignment="1">
      <alignment vertical="center"/>
    </xf>
    <xf numFmtId="0" fontId="13" fillId="0" borderId="0" xfId="0" applyFont="1" applyFill="1" applyAlignment="1"/>
    <xf numFmtId="0" fontId="11" fillId="0" borderId="0" xfId="0" applyFont="1" applyFill="1"/>
    <xf numFmtId="0" fontId="11" fillId="0" borderId="0" xfId="2" applyFont="1" applyFill="1" applyAlignment="1">
      <alignment vertical="center"/>
    </xf>
    <xf numFmtId="0" fontId="18" fillId="0" borderId="0" xfId="0" applyFont="1" applyFill="1"/>
    <xf numFmtId="0" fontId="9" fillId="0" borderId="0" xfId="0" applyFont="1" applyFill="1" applyAlignment="1">
      <alignment horizontal="left"/>
    </xf>
    <xf numFmtId="0" fontId="9" fillId="0" borderId="0" xfId="2" applyFont="1" applyFill="1" applyAlignment="1">
      <alignment vertical="center"/>
    </xf>
    <xf numFmtId="0" fontId="20" fillId="0" borderId="0" xfId="0" applyFont="1" applyFill="1"/>
    <xf numFmtId="0" fontId="20" fillId="0" borderId="0" xfId="0" applyFont="1" applyFill="1" applyAlignment="1"/>
    <xf numFmtId="0" fontId="20" fillId="0" borderId="0" xfId="2" applyFont="1" applyFill="1" applyAlignment="1">
      <alignment vertical="center"/>
    </xf>
    <xf numFmtId="0" fontId="19" fillId="0" borderId="0" xfId="0" applyFont="1" applyFill="1"/>
    <xf numFmtId="0" fontId="19" fillId="0" borderId="0" xfId="0" applyFont="1"/>
    <xf numFmtId="0" fontId="20" fillId="0" borderId="0" xfId="0" applyFont="1"/>
    <xf numFmtId="0" fontId="19" fillId="0" borderId="0" xfId="0" applyFont="1" applyFill="1" applyAlignment="1">
      <alignment horizontal="centerContinuous"/>
    </xf>
    <xf numFmtId="0" fontId="19" fillId="0" borderId="0" xfId="0" applyFont="1" applyAlignment="1">
      <alignment vertical="center" wrapText="1"/>
    </xf>
    <xf numFmtId="0" fontId="19" fillId="0" borderId="0" xfId="0" applyFont="1" applyAlignment="1">
      <alignment wrapText="1"/>
    </xf>
    <xf numFmtId="49" fontId="20" fillId="0" borderId="0" xfId="3" applyFont="1" applyBorder="1" applyAlignment="1">
      <alignment horizontal="left" vertical="center"/>
    </xf>
    <xf numFmtId="3" fontId="19" fillId="0" borderId="0" xfId="3" applyNumberFormat="1" applyFont="1" applyBorder="1" applyAlignment="1">
      <alignment vertical="center"/>
    </xf>
    <xf numFmtId="3" fontId="19" fillId="0" borderId="0" xfId="3" applyNumberFormat="1" applyFont="1" applyAlignment="1">
      <alignment vertical="center"/>
    </xf>
    <xf numFmtId="3" fontId="19" fillId="0" borderId="0" xfId="3" applyNumberFormat="1" applyFont="1" applyAlignment="1">
      <alignment horizontal="right" vertical="center"/>
    </xf>
    <xf numFmtId="3" fontId="19" fillId="0" borderId="14" xfId="0" applyNumberFormat="1" applyFont="1" applyBorder="1"/>
    <xf numFmtId="3" fontId="19" fillId="0" borderId="0" xfId="0" applyNumberFormat="1" applyFont="1" applyBorder="1"/>
    <xf numFmtId="3" fontId="19" fillId="0" borderId="4" xfId="0" applyNumberFormat="1" applyFont="1" applyBorder="1"/>
    <xf numFmtId="0" fontId="19" fillId="0" borderId="11" xfId="0" applyFont="1" applyBorder="1"/>
    <xf numFmtId="0" fontId="20" fillId="0" borderId="0" xfId="0" applyFont="1" applyAlignment="1">
      <alignment horizontal="center" vertical="center" textRotation="90"/>
    </xf>
    <xf numFmtId="0" fontId="20" fillId="0" borderId="0" xfId="0" applyFont="1" applyFill="1" applyAlignment="1">
      <alignment horizontal="center" vertical="center" wrapText="1"/>
    </xf>
    <xf numFmtId="0" fontId="19" fillId="0" borderId="14" xfId="0" applyFont="1" applyBorder="1"/>
    <xf numFmtId="0" fontId="19" fillId="0" borderId="0" xfId="0" applyFont="1" applyBorder="1"/>
    <xf numFmtId="0" fontId="19" fillId="0" borderId="4" xfId="0" applyFont="1" applyBorder="1"/>
    <xf numFmtId="0" fontId="6" fillId="0" borderId="0" xfId="0" applyFont="1" applyAlignment="1">
      <alignment horizontal="center" vertical="center"/>
    </xf>
    <xf numFmtId="0" fontId="4" fillId="0" borderId="0" xfId="0" applyFont="1" applyFill="1"/>
    <xf numFmtId="0" fontId="4" fillId="0" borderId="0" xfId="0" applyFont="1" applyFill="1" applyBorder="1"/>
    <xf numFmtId="0" fontId="4" fillId="0" borderId="0" xfId="0" applyFont="1" applyFill="1" applyAlignment="1">
      <alignment vertical="center"/>
    </xf>
    <xf numFmtId="0" fontId="6" fillId="6" borderId="28" xfId="0" applyFont="1" applyFill="1" applyBorder="1" applyAlignment="1">
      <alignment horizontal="right" vertical="center" indent="2"/>
    </xf>
    <xf numFmtId="0" fontId="19" fillId="0" borderId="0" xfId="0" applyFont="1"/>
    <xf numFmtId="0" fontId="6" fillId="7" borderId="28" xfId="0" applyFont="1" applyFill="1" applyBorder="1" applyAlignment="1">
      <alignment horizontal="center" vertical="center" wrapText="1"/>
    </xf>
    <xf numFmtId="0" fontId="6" fillId="7" borderId="28" xfId="0" applyFont="1" applyFill="1" applyBorder="1" applyAlignment="1">
      <alignment horizontal="center" vertical="center"/>
    </xf>
    <xf numFmtId="0" fontId="20" fillId="7" borderId="18" xfId="0" applyFont="1" applyFill="1" applyBorder="1" applyAlignment="1">
      <alignment horizontal="center" vertical="center" textRotation="90" wrapText="1"/>
    </xf>
    <xf numFmtId="0" fontId="20" fillId="7" borderId="5" xfId="0" applyFont="1" applyFill="1" applyBorder="1" applyAlignment="1">
      <alignment horizontal="center" vertical="center" textRotation="90" wrapText="1"/>
    </xf>
    <xf numFmtId="0" fontId="20" fillId="7" borderId="20" xfId="0" applyFont="1" applyFill="1" applyBorder="1" applyAlignment="1">
      <alignment horizontal="center" vertical="center" textRotation="90" wrapText="1"/>
    </xf>
    <xf numFmtId="49" fontId="17" fillId="7" borderId="35" xfId="3" applyFont="1" applyFill="1" applyBorder="1" applyAlignment="1">
      <alignment horizontal="center" textRotation="90" wrapText="1"/>
    </xf>
    <xf numFmtId="49" fontId="17" fillId="7" borderId="37" xfId="3" applyFont="1" applyFill="1" applyBorder="1" applyAlignment="1">
      <alignment horizontal="center" textRotation="90" wrapText="1"/>
    </xf>
    <xf numFmtId="49" fontId="17" fillId="7" borderId="36" xfId="3" applyFont="1" applyFill="1" applyBorder="1" applyAlignment="1">
      <alignment horizontal="center" textRotation="90" wrapText="1"/>
    </xf>
    <xf numFmtId="49" fontId="17" fillId="7" borderId="49" xfId="3" applyFont="1" applyFill="1" applyBorder="1" applyAlignment="1">
      <alignment horizontal="center" textRotation="90" wrapText="1"/>
    </xf>
    <xf numFmtId="49" fontId="15" fillId="7" borderId="37" xfId="3" applyFont="1" applyFill="1" applyBorder="1" applyAlignment="1">
      <alignment horizontal="center" textRotation="90" wrapText="1"/>
    </xf>
    <xf numFmtId="49" fontId="13" fillId="7" borderId="36" xfId="3" applyFont="1" applyFill="1" applyBorder="1" applyAlignment="1">
      <alignment horizontal="center" textRotation="90" wrapText="1"/>
    </xf>
    <xf numFmtId="0" fontId="13" fillId="7" borderId="39" xfId="0" applyFont="1" applyFill="1" applyBorder="1" applyAlignment="1">
      <alignment horizontal="center" vertical="center" wrapText="1"/>
    </xf>
    <xf numFmtId="0" fontId="13" fillId="7" borderId="15" xfId="0" applyFont="1" applyFill="1" applyBorder="1" applyAlignment="1">
      <alignment horizontal="center" vertical="center" wrapText="1"/>
    </xf>
    <xf numFmtId="0" fontId="13" fillId="7" borderId="16"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3" fillId="7" borderId="19" xfId="0" applyFont="1" applyFill="1" applyBorder="1" applyAlignment="1">
      <alignment horizontal="center" vertical="center" wrapText="1"/>
    </xf>
    <xf numFmtId="164" fontId="13" fillId="7" borderId="16" xfId="0" applyNumberFormat="1" applyFont="1" applyFill="1" applyBorder="1" applyAlignment="1">
      <alignment horizontal="center" vertical="center" textRotation="90" wrapText="1"/>
    </xf>
    <xf numFmtId="164" fontId="13" fillId="7" borderId="40" xfId="0" applyNumberFormat="1" applyFont="1" applyFill="1" applyBorder="1" applyAlignment="1">
      <alignment horizontal="center" vertical="center" textRotation="90" wrapText="1"/>
    </xf>
    <xf numFmtId="0" fontId="13" fillId="7" borderId="18" xfId="0" applyFont="1" applyFill="1" applyBorder="1" applyAlignment="1">
      <alignment horizontal="center" vertical="center" wrapText="1"/>
    </xf>
    <xf numFmtId="0" fontId="5" fillId="0" borderId="0" xfId="0" applyFont="1" applyFill="1" applyAlignment="1">
      <alignment horizontal="centerContinuous"/>
    </xf>
    <xf numFmtId="0" fontId="5" fillId="0" borderId="0" xfId="0" applyFont="1" applyFill="1"/>
    <xf numFmtId="49" fontId="21" fillId="7" borderId="39" xfId="3" applyFont="1" applyFill="1" applyBorder="1" applyAlignment="1">
      <alignment horizontal="center" textRotation="90" wrapText="1"/>
    </xf>
    <xf numFmtId="49" fontId="21" fillId="7" borderId="16" xfId="3" applyFont="1" applyFill="1" applyBorder="1" applyAlignment="1">
      <alignment horizontal="center" textRotation="90" wrapText="1"/>
    </xf>
    <xf numFmtId="49" fontId="21" fillId="7" borderId="17" xfId="3" applyFont="1" applyFill="1" applyBorder="1" applyAlignment="1">
      <alignment horizontal="center" textRotation="90" wrapText="1"/>
    </xf>
    <xf numFmtId="49" fontId="9" fillId="7" borderId="39" xfId="3" applyNumberFormat="1" applyFont="1" applyFill="1" applyBorder="1" applyAlignment="1" applyProtection="1">
      <alignment horizontal="center" textRotation="90" wrapText="1"/>
    </xf>
    <xf numFmtId="49" fontId="9" fillId="7" borderId="40" xfId="3" applyFont="1" applyFill="1" applyBorder="1" applyAlignment="1">
      <alignment horizontal="center" textRotation="90" wrapText="1"/>
    </xf>
    <xf numFmtId="49" fontId="5" fillId="0" borderId="60" xfId="3" applyFont="1" applyBorder="1" applyAlignment="1">
      <alignment vertical="center"/>
    </xf>
    <xf numFmtId="4" fontId="9" fillId="0" borderId="22" xfId="3" applyNumberFormat="1" applyFont="1" applyBorder="1" applyAlignment="1">
      <alignment vertical="center"/>
    </xf>
    <xf numFmtId="49" fontId="5" fillId="0" borderId="2" xfId="3" applyFont="1" applyBorder="1" applyAlignment="1">
      <alignment vertical="center"/>
    </xf>
    <xf numFmtId="4" fontId="9" fillId="0" borderId="26" xfId="3" applyNumberFormat="1" applyFont="1" applyBorder="1" applyAlignment="1">
      <alignment vertical="center"/>
    </xf>
    <xf numFmtId="4" fontId="5" fillId="0" borderId="26" xfId="3" applyNumberFormat="1" applyFont="1" applyBorder="1" applyAlignment="1">
      <alignment horizontal="justify" vertical="center"/>
    </xf>
    <xf numFmtId="49" fontId="9" fillId="2" borderId="19" xfId="3" applyFont="1" applyFill="1" applyBorder="1" applyAlignment="1">
      <alignment horizontal="center" vertical="center"/>
    </xf>
    <xf numFmtId="4" fontId="9" fillId="2" borderId="39" xfId="3" applyNumberFormat="1" applyFont="1" applyFill="1" applyBorder="1" applyAlignment="1">
      <alignment horizontal="right" vertical="center"/>
    </xf>
    <xf numFmtId="0" fontId="9" fillId="0" borderId="0" xfId="0" applyFont="1" applyFill="1" applyAlignment="1"/>
    <xf numFmtId="0" fontId="9" fillId="0" borderId="0" xfId="0" quotePrefix="1" applyFont="1" applyFill="1" applyAlignment="1"/>
    <xf numFmtId="0" fontId="9" fillId="7" borderId="39" xfId="0" applyFont="1" applyFill="1" applyBorder="1" applyAlignment="1">
      <alignment horizontal="center" vertical="center" textRotation="90" wrapText="1"/>
    </xf>
    <xf numFmtId="0" fontId="9" fillId="7" borderId="16" xfId="0" applyFont="1" applyFill="1" applyBorder="1" applyAlignment="1">
      <alignment horizontal="center" vertical="center" textRotation="90" wrapText="1"/>
    </xf>
    <xf numFmtId="0" fontId="9" fillId="7" borderId="15" xfId="0" applyFont="1" applyFill="1" applyBorder="1" applyAlignment="1">
      <alignment horizontal="center" vertical="center" textRotation="90" wrapText="1"/>
    </xf>
    <xf numFmtId="0" fontId="9" fillId="7" borderId="18" xfId="0" applyFont="1" applyFill="1" applyBorder="1" applyAlignment="1">
      <alignment horizontal="center" vertical="center" textRotation="90" wrapText="1"/>
    </xf>
    <xf numFmtId="0" fontId="9" fillId="0" borderId="12" xfId="0" applyFont="1" applyBorder="1" applyAlignment="1">
      <alignment horizontal="center" wrapText="1"/>
    </xf>
    <xf numFmtId="0" fontId="9" fillId="0" borderId="57" xfId="0" applyFont="1" applyBorder="1" applyAlignment="1">
      <alignment horizontal="center"/>
    </xf>
    <xf numFmtId="0" fontId="9" fillId="0" borderId="47" xfId="0" applyFont="1" applyBorder="1" applyAlignment="1">
      <alignment horizontal="center"/>
    </xf>
    <xf numFmtId="0" fontId="9" fillId="0" borderId="13" xfId="0" applyFont="1" applyBorder="1" applyAlignment="1">
      <alignment horizontal="center"/>
    </xf>
    <xf numFmtId="0" fontId="9" fillId="0" borderId="4" xfId="0" applyFont="1" applyBorder="1" applyAlignment="1">
      <alignment horizontal="center"/>
    </xf>
    <xf numFmtId="0" fontId="22" fillId="0" borderId="14" xfId="0" applyFont="1" applyFill="1" applyBorder="1" applyAlignment="1">
      <alignment wrapText="1"/>
    </xf>
    <xf numFmtId="3" fontId="9" fillId="0" borderId="54" xfId="0" applyNumberFormat="1" applyFont="1" applyBorder="1"/>
    <xf numFmtId="3" fontId="9" fillId="0" borderId="47" xfId="0" applyNumberFormat="1" applyFont="1" applyBorder="1"/>
    <xf numFmtId="3" fontId="9" fillId="0" borderId="13" xfId="0" applyNumberFormat="1" applyFont="1" applyBorder="1"/>
    <xf numFmtId="3" fontId="9" fillId="0" borderId="4" xfId="0" applyNumberFormat="1" applyFont="1" applyBorder="1"/>
    <xf numFmtId="0" fontId="5" fillId="0" borderId="14" xfId="0" applyFont="1" applyFill="1" applyBorder="1" applyAlignment="1">
      <alignment wrapText="1"/>
    </xf>
    <xf numFmtId="3" fontId="5" fillId="0" borderId="54" xfId="0" applyNumberFormat="1" applyFont="1" applyBorder="1"/>
    <xf numFmtId="3" fontId="5" fillId="0" borderId="47" xfId="0" applyNumberFormat="1" applyFont="1" applyBorder="1"/>
    <xf numFmtId="3" fontId="5" fillId="0" borderId="13" xfId="0" applyNumberFormat="1" applyFont="1" applyBorder="1"/>
    <xf numFmtId="3" fontId="5" fillId="0" borderId="4" xfId="0" applyNumberFormat="1" applyFont="1" applyBorder="1"/>
    <xf numFmtId="0" fontId="9" fillId="0" borderId="14" xfId="0" applyFont="1" applyFill="1" applyBorder="1" applyAlignment="1">
      <alignment wrapText="1"/>
    </xf>
    <xf numFmtId="0" fontId="5" fillId="0" borderId="14" xfId="0" applyFont="1" applyFill="1" applyBorder="1" applyAlignment="1">
      <alignment horizontal="left" wrapText="1"/>
    </xf>
    <xf numFmtId="0" fontId="5" fillId="0" borderId="14" xfId="0" quotePrefix="1" applyFont="1" applyFill="1" applyBorder="1" applyAlignment="1">
      <alignment horizontal="left" wrapText="1"/>
    </xf>
    <xf numFmtId="0" fontId="22" fillId="0" borderId="14" xfId="0" applyFont="1" applyFill="1" applyBorder="1" applyAlignment="1">
      <alignment horizontal="left" wrapText="1"/>
    </xf>
    <xf numFmtId="0" fontId="5" fillId="0" borderId="7" xfId="0" applyFont="1" applyBorder="1" applyAlignment="1">
      <alignment wrapText="1"/>
    </xf>
    <xf numFmtId="0" fontId="5" fillId="0" borderId="3" xfId="0" applyFont="1" applyFill="1" applyBorder="1" applyAlignment="1">
      <alignment wrapText="1"/>
    </xf>
    <xf numFmtId="0" fontId="9" fillId="0" borderId="43" xfId="0" applyFont="1" applyFill="1" applyBorder="1" applyAlignment="1">
      <alignment horizontal="center" wrapText="1"/>
    </xf>
    <xf numFmtId="3" fontId="9" fillId="0" borderId="67" xfId="0" applyNumberFormat="1" applyFont="1" applyFill="1" applyBorder="1"/>
    <xf numFmtId="3" fontId="9" fillId="0" borderId="68" xfId="0" applyNumberFormat="1" applyFont="1" applyFill="1" applyBorder="1"/>
    <xf numFmtId="3" fontId="9" fillId="0" borderId="69" xfId="0" applyNumberFormat="1" applyFont="1" applyFill="1" applyBorder="1"/>
    <xf numFmtId="3" fontId="9" fillId="0" borderId="66" xfId="0" applyNumberFormat="1" applyFont="1" applyFill="1" applyBorder="1"/>
    <xf numFmtId="0" fontId="9" fillId="0" borderId="5" xfId="0" applyFont="1" applyFill="1" applyBorder="1" applyAlignment="1">
      <alignment horizontal="center" wrapText="1"/>
    </xf>
    <xf numFmtId="3" fontId="9" fillId="0" borderId="39" xfId="0" applyNumberFormat="1" applyFont="1" applyFill="1" applyBorder="1"/>
    <xf numFmtId="3" fontId="9" fillId="0" borderId="20" xfId="0" applyNumberFormat="1" applyFont="1" applyFill="1" applyBorder="1"/>
    <xf numFmtId="3" fontId="9" fillId="0" borderId="15" xfId="0" applyNumberFormat="1" applyFont="1" applyFill="1" applyBorder="1"/>
    <xf numFmtId="3" fontId="9" fillId="0" borderId="18" xfId="0" applyNumberFormat="1" applyFont="1" applyFill="1" applyBorder="1"/>
    <xf numFmtId="3" fontId="9" fillId="0" borderId="70" xfId="0" applyNumberFormat="1" applyFont="1" applyFill="1" applyBorder="1"/>
    <xf numFmtId="3" fontId="5" fillId="0" borderId="57" xfId="0" applyNumberFormat="1" applyFont="1" applyFill="1" applyBorder="1"/>
    <xf numFmtId="3" fontId="5" fillId="0" borderId="45" xfId="0" applyNumberFormat="1" applyFont="1" applyFill="1" applyBorder="1"/>
    <xf numFmtId="3" fontId="5" fillId="0" borderId="51" xfId="0" applyNumberFormat="1" applyFont="1" applyFill="1" applyBorder="1"/>
    <xf numFmtId="3" fontId="5" fillId="0" borderId="50" xfId="0" applyNumberFormat="1" applyFont="1" applyFill="1" applyBorder="1"/>
    <xf numFmtId="3" fontId="5" fillId="0" borderId="21" xfId="0" applyNumberFormat="1" applyFont="1" applyFill="1" applyBorder="1"/>
    <xf numFmtId="3" fontId="9" fillId="0" borderId="40" xfId="0" applyNumberFormat="1" applyFont="1" applyFill="1" applyBorder="1"/>
    <xf numFmtId="3" fontId="9" fillId="0" borderId="71" xfId="0" applyNumberFormat="1" applyFont="1" applyFill="1" applyBorder="1"/>
    <xf numFmtId="3" fontId="5" fillId="0" borderId="46" xfId="0" applyNumberFormat="1" applyFont="1" applyFill="1" applyBorder="1"/>
    <xf numFmtId="3" fontId="9" fillId="0" borderId="16" xfId="0" applyNumberFormat="1" applyFont="1" applyFill="1" applyBorder="1"/>
    <xf numFmtId="0" fontId="12" fillId="0" borderId="0" xfId="4" applyFont="1"/>
    <xf numFmtId="0" fontId="12" fillId="0" borderId="4" xfId="4" applyFont="1" applyBorder="1"/>
    <xf numFmtId="0" fontId="12" fillId="0" borderId="14" xfId="4" applyFont="1" applyBorder="1"/>
    <xf numFmtId="3" fontId="12" fillId="0" borderId="4" xfId="4" applyNumberFormat="1" applyFont="1" applyBorder="1"/>
    <xf numFmtId="3" fontId="12" fillId="0" borderId="14" xfId="4" applyNumberFormat="1" applyFont="1" applyBorder="1"/>
    <xf numFmtId="3" fontId="12" fillId="0" borderId="0" xfId="4" applyNumberFormat="1" applyFont="1" applyBorder="1"/>
    <xf numFmtId="3" fontId="12" fillId="0" borderId="4" xfId="4" applyNumberFormat="1" applyFont="1" applyBorder="1" applyAlignment="1"/>
    <xf numFmtId="3" fontId="12" fillId="0" borderId="14" xfId="4" applyNumberFormat="1" applyFont="1" applyBorder="1" applyAlignment="1"/>
    <xf numFmtId="3" fontId="12" fillId="0" borderId="0" xfId="4" applyNumberFormat="1" applyFont="1" applyBorder="1" applyAlignment="1"/>
    <xf numFmtId="0" fontId="12" fillId="0" borderId="21" xfId="4" applyFont="1" applyBorder="1"/>
    <xf numFmtId="0" fontId="12" fillId="0" borderId="12" xfId="4" applyFont="1" applyBorder="1"/>
    <xf numFmtId="0" fontId="13" fillId="0" borderId="0" xfId="4" applyFont="1" applyFill="1" applyAlignment="1">
      <alignment horizontal="center"/>
    </xf>
    <xf numFmtId="0" fontId="13" fillId="8" borderId="18" xfId="4" applyFont="1" applyFill="1" applyBorder="1" applyAlignment="1">
      <alignment horizontal="center"/>
    </xf>
    <xf numFmtId="0" fontId="13" fillId="8" borderId="5" xfId="4" applyFont="1" applyFill="1" applyBorder="1" applyAlignment="1">
      <alignment horizontal="center" wrapText="1"/>
    </xf>
    <xf numFmtId="0" fontId="18" fillId="0" borderId="0" xfId="4" applyFont="1" applyFill="1"/>
    <xf numFmtId="0" fontId="11" fillId="0" borderId="0" xfId="4" applyFont="1" applyFill="1"/>
    <xf numFmtId="0" fontId="11" fillId="0" borderId="0" xfId="4" applyFont="1" applyFill="1" applyAlignment="1"/>
    <xf numFmtId="0" fontId="13" fillId="0" borderId="0" xfId="4" applyFont="1" applyFill="1" applyAlignment="1"/>
    <xf numFmtId="0" fontId="0" fillId="5" borderId="0" xfId="0" applyFill="1" applyAlignment="1">
      <alignment horizontal="left" vertical="center" wrapText="1"/>
    </xf>
    <xf numFmtId="0" fontId="0" fillId="0" borderId="0" xfId="0" applyAlignment="1">
      <alignment horizontal="left" vertical="center"/>
    </xf>
    <xf numFmtId="0" fontId="0" fillId="0" borderId="0" xfId="0" applyFill="1" applyAlignment="1">
      <alignment horizontal="left" vertical="center"/>
    </xf>
    <xf numFmtId="0" fontId="5" fillId="0" borderId="73" xfId="0" applyFont="1" applyFill="1" applyBorder="1" applyAlignment="1">
      <alignment horizontal="left" indent="2"/>
    </xf>
    <xf numFmtId="0" fontId="5" fillId="0" borderId="0" xfId="0" applyFont="1" applyFill="1" applyBorder="1" applyAlignment="1">
      <alignment horizontal="left" indent="2"/>
    </xf>
    <xf numFmtId="0" fontId="6" fillId="0" borderId="28" xfId="0" applyFont="1" applyBorder="1" applyAlignment="1">
      <alignment horizontal="left" vertical="center"/>
    </xf>
    <xf numFmtId="0" fontId="13" fillId="8" borderId="19" xfId="4" applyFont="1" applyFill="1" applyBorder="1" applyAlignment="1">
      <alignment horizontal="center"/>
    </xf>
    <xf numFmtId="165" fontId="6" fillId="6" borderId="28" xfId="5" applyNumberFormat="1" applyFont="1" applyFill="1" applyBorder="1" applyAlignment="1">
      <alignment vertical="center"/>
    </xf>
    <xf numFmtId="0" fontId="4" fillId="0" borderId="28" xfId="0" applyFont="1" applyFill="1" applyBorder="1" applyAlignment="1">
      <alignment vertical="center"/>
    </xf>
    <xf numFmtId="165" fontId="4" fillId="0" borderId="28" xfId="5" applyNumberFormat="1" applyFont="1" applyFill="1" applyBorder="1" applyAlignment="1">
      <alignment vertical="center"/>
    </xf>
    <xf numFmtId="165" fontId="9" fillId="0" borderId="23" xfId="5" applyNumberFormat="1" applyFont="1" applyBorder="1" applyAlignment="1">
      <alignment vertical="center"/>
    </xf>
    <xf numFmtId="165" fontId="9" fillId="0" borderId="24" xfId="5" applyNumberFormat="1" applyFont="1" applyBorder="1" applyAlignment="1">
      <alignment vertical="center"/>
    </xf>
    <xf numFmtId="165" fontId="9" fillId="0" borderId="22" xfId="5" applyNumberFormat="1" applyFont="1" applyBorder="1" applyAlignment="1">
      <alignment vertical="center"/>
    </xf>
    <xf numFmtId="165" fontId="9" fillId="0" borderId="28" xfId="5" applyNumberFormat="1" applyFont="1" applyBorder="1" applyAlignment="1">
      <alignment vertical="center"/>
    </xf>
    <xf numFmtId="165" fontId="9" fillId="0" borderId="26" xfId="5" applyNumberFormat="1" applyFont="1" applyBorder="1" applyAlignment="1">
      <alignment vertical="center"/>
    </xf>
    <xf numFmtId="165" fontId="9" fillId="0" borderId="1" xfId="5" applyNumberFormat="1" applyFont="1" applyBorder="1" applyAlignment="1">
      <alignment vertical="center"/>
    </xf>
    <xf numFmtId="165" fontId="5" fillId="0" borderId="28" xfId="5" applyNumberFormat="1" applyFont="1" applyBorder="1" applyAlignment="1">
      <alignment horizontal="justify" vertical="center"/>
    </xf>
    <xf numFmtId="165" fontId="5" fillId="0" borderId="28" xfId="5" applyNumberFormat="1" applyFont="1" applyBorder="1" applyAlignment="1">
      <alignment horizontal="right" vertical="center"/>
    </xf>
    <xf numFmtId="165" fontId="5" fillId="0" borderId="26" xfId="5" applyNumberFormat="1" applyFont="1" applyBorder="1" applyAlignment="1">
      <alignment horizontal="justify" vertical="center"/>
    </xf>
    <xf numFmtId="165" fontId="5" fillId="0" borderId="1" xfId="5" applyNumberFormat="1" applyFont="1" applyBorder="1" applyAlignment="1">
      <alignment horizontal="right" vertical="center"/>
    </xf>
    <xf numFmtId="165" fontId="5" fillId="0" borderId="28" xfId="5" applyNumberFormat="1" applyFont="1" applyBorder="1" applyAlignment="1">
      <alignment vertical="center"/>
    </xf>
    <xf numFmtId="165" fontId="5" fillId="0" borderId="23" xfId="5" applyNumberFormat="1" applyFont="1" applyBorder="1" applyAlignment="1">
      <alignment vertical="center"/>
    </xf>
    <xf numFmtId="3" fontId="9" fillId="2" borderId="16" xfId="3" applyNumberFormat="1" applyFont="1" applyFill="1" applyBorder="1" applyAlignment="1">
      <alignment horizontal="right" vertical="center"/>
    </xf>
    <xf numFmtId="3" fontId="9" fillId="2" borderId="17" xfId="3" applyNumberFormat="1" applyFont="1" applyFill="1" applyBorder="1" applyAlignment="1">
      <alignment horizontal="right" vertical="center"/>
    </xf>
    <xf numFmtId="3" fontId="9" fillId="2" borderId="39" xfId="3" applyNumberFormat="1" applyFont="1" applyFill="1" applyBorder="1" applyAlignment="1">
      <alignment horizontal="right" vertical="center"/>
    </xf>
    <xf numFmtId="9" fontId="9" fillId="0" borderId="25" xfId="6" applyFont="1" applyBorder="1" applyAlignment="1">
      <alignment horizontal="center" vertical="center"/>
    </xf>
    <xf numFmtId="9" fontId="9" fillId="0" borderId="29" xfId="6" applyFont="1" applyBorder="1" applyAlignment="1">
      <alignment horizontal="center" vertical="center"/>
    </xf>
    <xf numFmtId="9" fontId="5" fillId="0" borderId="29" xfId="6" applyFont="1" applyBorder="1" applyAlignment="1">
      <alignment horizontal="center" vertical="center"/>
    </xf>
    <xf numFmtId="9" fontId="9" fillId="2" borderId="40" xfId="6" applyFont="1" applyFill="1" applyBorder="1" applyAlignment="1">
      <alignment horizontal="center" vertical="center"/>
    </xf>
    <xf numFmtId="0" fontId="13" fillId="8" borderId="19" xfId="4" applyFont="1" applyFill="1" applyBorder="1" applyAlignment="1">
      <alignment horizontal="center"/>
    </xf>
    <xf numFmtId="3" fontId="20" fillId="0" borderId="4" xfId="0" applyNumberFormat="1" applyFont="1" applyBorder="1"/>
    <xf numFmtId="0" fontId="20" fillId="0" borderId="4" xfId="0" applyFont="1" applyBorder="1"/>
    <xf numFmtId="9" fontId="20" fillId="0" borderId="14" xfId="6" applyFont="1" applyBorder="1" applyAlignment="1">
      <alignment horizontal="center" vertical="center"/>
    </xf>
    <xf numFmtId="0" fontId="19" fillId="0" borderId="0" xfId="0" applyFont="1" applyAlignment="1">
      <alignment vertical="center"/>
    </xf>
    <xf numFmtId="0" fontId="20" fillId="0" borderId="0" xfId="0" applyFont="1" applyAlignment="1">
      <alignment vertical="center"/>
    </xf>
    <xf numFmtId="166" fontId="20" fillId="0" borderId="14" xfId="6" applyNumberFormat="1" applyFont="1" applyBorder="1" applyAlignment="1">
      <alignment horizontal="center" vertical="center"/>
    </xf>
    <xf numFmtId="49" fontId="20" fillId="9" borderId="19" xfId="3" applyFont="1" applyFill="1" applyBorder="1" applyAlignment="1">
      <alignment horizontal="left" vertical="center"/>
    </xf>
    <xf numFmtId="0" fontId="20" fillId="9" borderId="5" xfId="0" applyFont="1" applyFill="1" applyBorder="1" applyAlignment="1">
      <alignment vertical="center"/>
    </xf>
    <xf numFmtId="3" fontId="20" fillId="9" borderId="5" xfId="0" applyNumberFormat="1" applyFont="1" applyFill="1" applyBorder="1" applyAlignment="1">
      <alignment vertical="center"/>
    </xf>
    <xf numFmtId="9" fontId="20" fillId="9" borderId="5" xfId="6" applyFont="1" applyFill="1" applyBorder="1" applyAlignment="1">
      <alignment horizontal="center" vertical="center"/>
    </xf>
    <xf numFmtId="166" fontId="20" fillId="0" borderId="74" xfId="6" applyNumberFormat="1" applyFont="1" applyBorder="1" applyAlignment="1">
      <alignment horizontal="center" vertical="center"/>
    </xf>
    <xf numFmtId="166" fontId="20" fillId="0" borderId="77" xfId="6" applyNumberFormat="1" applyFont="1" applyBorder="1" applyAlignment="1">
      <alignment horizontal="center" vertical="center"/>
    </xf>
    <xf numFmtId="0" fontId="19" fillId="0" borderId="74" xfId="0" applyFont="1" applyBorder="1" applyAlignment="1">
      <alignment vertical="center"/>
    </xf>
    <xf numFmtId="3" fontId="19" fillId="0" borderId="74" xfId="0" applyNumberFormat="1" applyFont="1" applyBorder="1" applyAlignment="1">
      <alignment vertical="center"/>
    </xf>
    <xf numFmtId="3" fontId="19" fillId="0" borderId="75" xfId="0" applyNumberFormat="1" applyFont="1" applyBorder="1" applyAlignment="1">
      <alignment vertical="center"/>
    </xf>
    <xf numFmtId="3" fontId="19" fillId="0" borderId="76" xfId="0" applyNumberFormat="1" applyFont="1" applyBorder="1" applyAlignment="1">
      <alignment vertical="center"/>
    </xf>
    <xf numFmtId="3" fontId="20" fillId="0" borderId="76" xfId="0" applyNumberFormat="1" applyFont="1" applyBorder="1" applyAlignment="1">
      <alignment vertical="center"/>
    </xf>
    <xf numFmtId="0" fontId="19" fillId="0" borderId="77" xfId="0" applyFont="1" applyBorder="1" applyAlignment="1">
      <alignment vertical="center"/>
    </xf>
    <xf numFmtId="3" fontId="19" fillId="0" borderId="77" xfId="0" applyNumberFormat="1" applyFont="1" applyBorder="1" applyAlignment="1">
      <alignment vertical="center"/>
    </xf>
    <xf numFmtId="3" fontId="19" fillId="0" borderId="78" xfId="0" applyNumberFormat="1" applyFont="1" applyBorder="1" applyAlignment="1">
      <alignment vertical="center"/>
    </xf>
    <xf numFmtId="3" fontId="19" fillId="0" borderId="79" xfId="0" applyNumberFormat="1" applyFont="1" applyBorder="1" applyAlignment="1">
      <alignment vertical="center"/>
    </xf>
    <xf numFmtId="3" fontId="20" fillId="0" borderId="79" xfId="0" applyNumberFormat="1" applyFont="1" applyBorder="1" applyAlignment="1">
      <alignment vertical="center"/>
    </xf>
    <xf numFmtId="0" fontId="12" fillId="0" borderId="6" xfId="0" applyFont="1" applyBorder="1" applyAlignment="1">
      <alignment vertical="center"/>
    </xf>
    <xf numFmtId="0" fontId="12" fillId="0" borderId="12" xfId="0" applyFont="1" applyBorder="1" applyAlignment="1">
      <alignment vertical="center"/>
    </xf>
    <xf numFmtId="165" fontId="12" fillId="0" borderId="30" xfId="5" applyNumberFormat="1" applyFont="1" applyBorder="1" applyAlignment="1">
      <alignment vertical="center"/>
    </xf>
    <xf numFmtId="165" fontId="12" fillId="0" borderId="32" xfId="5" applyNumberFormat="1" applyFont="1" applyBorder="1" applyAlignment="1">
      <alignment vertical="center"/>
    </xf>
    <xf numFmtId="165" fontId="12" fillId="0" borderId="31" xfId="5" applyNumberFormat="1" applyFont="1" applyBorder="1" applyAlignment="1">
      <alignment vertical="center"/>
    </xf>
    <xf numFmtId="165" fontId="12" fillId="0" borderId="63" xfId="5" applyNumberFormat="1" applyFont="1" applyBorder="1" applyAlignment="1">
      <alignment vertical="center"/>
    </xf>
    <xf numFmtId="0" fontId="12" fillId="0" borderId="0" xfId="0" applyFont="1" applyAlignment="1">
      <alignment vertical="center"/>
    </xf>
    <xf numFmtId="49" fontId="12" fillId="0" borderId="3" xfId="0" applyNumberFormat="1" applyFont="1" applyBorder="1" applyAlignment="1">
      <alignment horizontal="left" vertical="center"/>
    </xf>
    <xf numFmtId="0" fontId="12" fillId="0" borderId="14" xfId="0" applyFont="1" applyBorder="1" applyAlignment="1">
      <alignment vertical="center"/>
    </xf>
    <xf numFmtId="165" fontId="12" fillId="0" borderId="26" xfId="5" applyNumberFormat="1" applyFont="1" applyBorder="1" applyAlignment="1">
      <alignment vertical="center"/>
    </xf>
    <xf numFmtId="165" fontId="12" fillId="0" borderId="28" xfId="5" applyNumberFormat="1" applyFont="1" applyBorder="1" applyAlignment="1">
      <alignment vertical="center"/>
    </xf>
    <xf numFmtId="165" fontId="12" fillId="0" borderId="29" xfId="5" applyNumberFormat="1" applyFont="1" applyBorder="1" applyAlignment="1">
      <alignment vertical="center"/>
    </xf>
    <xf numFmtId="165" fontId="12" fillId="0" borderId="27" xfId="5" applyNumberFormat="1" applyFont="1" applyBorder="1" applyAlignment="1">
      <alignment vertical="center"/>
    </xf>
    <xf numFmtId="0" fontId="12" fillId="0" borderId="7" xfId="0" applyFont="1" applyBorder="1" applyAlignment="1">
      <alignment horizontal="right" vertical="center"/>
    </xf>
    <xf numFmtId="0" fontId="12" fillId="3" borderId="11" xfId="0" applyFont="1" applyFill="1" applyBorder="1" applyAlignment="1">
      <alignment horizontal="right" vertical="center"/>
    </xf>
    <xf numFmtId="165" fontId="12" fillId="3" borderId="35" xfId="5" applyNumberFormat="1" applyFont="1" applyFill="1" applyBorder="1" applyAlignment="1">
      <alignment vertical="center"/>
    </xf>
    <xf numFmtId="165" fontId="12" fillId="3" borderId="37" xfId="5" applyNumberFormat="1" applyFont="1" applyFill="1" applyBorder="1" applyAlignment="1">
      <alignment vertical="center"/>
    </xf>
    <xf numFmtId="165" fontId="12" fillId="3" borderId="36" xfId="5" applyNumberFormat="1" applyFont="1" applyFill="1" applyBorder="1" applyAlignment="1">
      <alignment vertical="center"/>
    </xf>
    <xf numFmtId="165" fontId="12" fillId="3" borderId="49" xfId="5" applyNumberFormat="1" applyFont="1" applyFill="1" applyBorder="1" applyAlignment="1">
      <alignment vertical="center"/>
    </xf>
    <xf numFmtId="165" fontId="12" fillId="0" borderId="22" xfId="5" applyNumberFormat="1" applyFont="1" applyBorder="1" applyAlignment="1">
      <alignment vertical="center"/>
    </xf>
    <xf numFmtId="165" fontId="12" fillId="0" borderId="23" xfId="5" applyNumberFormat="1" applyFont="1" applyBorder="1" applyAlignment="1">
      <alignment vertical="center"/>
    </xf>
    <xf numFmtId="165" fontId="12" fillId="0" borderId="25" xfId="5" applyNumberFormat="1" applyFont="1" applyBorder="1" applyAlignment="1">
      <alignment vertical="center"/>
    </xf>
    <xf numFmtId="165" fontId="12" fillId="0" borderId="42" xfId="5" applyNumberFormat="1" applyFont="1" applyBorder="1" applyAlignment="1">
      <alignment vertical="center"/>
    </xf>
    <xf numFmtId="0" fontId="12" fillId="0" borderId="3" xfId="0" applyFont="1" applyBorder="1" applyAlignment="1">
      <alignment horizontal="center" vertical="center"/>
    </xf>
    <xf numFmtId="0" fontId="13" fillId="3" borderId="11" xfId="0" applyFont="1" applyFill="1" applyBorder="1" applyAlignment="1">
      <alignment horizontal="right" vertical="center"/>
    </xf>
    <xf numFmtId="165" fontId="13" fillId="3" borderId="35" xfId="5" applyNumberFormat="1" applyFont="1" applyFill="1" applyBorder="1" applyAlignment="1">
      <alignment vertical="center"/>
    </xf>
    <xf numFmtId="9" fontId="13" fillId="3" borderId="37" xfId="6" applyFont="1" applyFill="1" applyBorder="1" applyAlignment="1">
      <alignment horizontal="center" vertical="center"/>
    </xf>
    <xf numFmtId="9" fontId="12" fillId="3" borderId="36" xfId="6" applyFont="1" applyFill="1" applyBorder="1" applyAlignment="1">
      <alignment horizontal="center" vertical="center"/>
    </xf>
    <xf numFmtId="9" fontId="13" fillId="3" borderId="36" xfId="6" applyFont="1" applyFill="1" applyBorder="1" applyAlignment="1">
      <alignment horizontal="center" vertical="center"/>
    </xf>
    <xf numFmtId="9" fontId="13" fillId="3" borderId="49" xfId="6" applyFont="1" applyFill="1" applyBorder="1" applyAlignment="1">
      <alignment horizontal="center" vertical="center"/>
    </xf>
    <xf numFmtId="0" fontId="13" fillId="3" borderId="36" xfId="0" applyNumberFormat="1" applyFont="1" applyFill="1" applyBorder="1" applyAlignment="1">
      <alignment vertical="center"/>
    </xf>
    <xf numFmtId="9" fontId="13" fillId="3" borderId="35" xfId="6" applyFont="1" applyFill="1" applyBorder="1" applyAlignment="1">
      <alignment horizontal="center" vertical="center"/>
    </xf>
    <xf numFmtId="9" fontId="12" fillId="0" borderId="31" xfId="6" applyFont="1" applyBorder="1" applyAlignment="1">
      <alignment horizontal="center" vertical="center"/>
    </xf>
    <xf numFmtId="9" fontId="12" fillId="0" borderId="29" xfId="6" applyFont="1" applyBorder="1" applyAlignment="1">
      <alignment horizontal="center" vertical="center"/>
    </xf>
    <xf numFmtId="0" fontId="13" fillId="0" borderId="3" xfId="0" applyFont="1" applyBorder="1" applyAlignment="1">
      <alignment horizontal="left" vertical="center"/>
    </xf>
    <xf numFmtId="0" fontId="9" fillId="6" borderId="0" xfId="2" applyFont="1" applyFill="1" applyAlignment="1">
      <alignment vertical="center"/>
    </xf>
    <xf numFmtId="0" fontId="4" fillId="6" borderId="0" xfId="4" applyFill="1"/>
    <xf numFmtId="0" fontId="6" fillId="7" borderId="28" xfId="4" applyFont="1" applyFill="1" applyBorder="1" applyAlignment="1">
      <alignment horizontal="center" vertical="center" wrapText="1"/>
    </xf>
    <xf numFmtId="0" fontId="6" fillId="7" borderId="28" xfId="4" applyFont="1" applyFill="1" applyBorder="1" applyAlignment="1">
      <alignment horizontal="center" vertical="center"/>
    </xf>
    <xf numFmtId="0" fontId="6" fillId="6" borderId="28" xfId="4" applyFont="1" applyFill="1" applyBorder="1" applyAlignment="1">
      <alignment vertical="center"/>
    </xf>
    <xf numFmtId="165" fontId="6" fillId="6" borderId="28" xfId="7" applyNumberFormat="1" applyFont="1" applyFill="1" applyBorder="1" applyAlignment="1">
      <alignment vertical="center"/>
    </xf>
    <xf numFmtId="0" fontId="4" fillId="0" borderId="28" xfId="4" applyFont="1" applyFill="1" applyBorder="1" applyAlignment="1">
      <alignment horizontal="left" vertical="center"/>
    </xf>
    <xf numFmtId="165" fontId="4" fillId="0" borderId="28" xfId="7" applyNumberFormat="1" applyFont="1" applyFill="1" applyBorder="1" applyAlignment="1">
      <alignment vertical="center"/>
    </xf>
    <xf numFmtId="0" fontId="6" fillId="6" borderId="28" xfId="4" applyFont="1" applyFill="1" applyBorder="1"/>
    <xf numFmtId="165" fontId="6" fillId="6" borderId="28" xfId="7" applyNumberFormat="1" applyFont="1" applyFill="1" applyBorder="1"/>
    <xf numFmtId="0" fontId="4" fillId="0" borderId="28" xfId="4" applyFont="1" applyFill="1" applyBorder="1" applyAlignment="1">
      <alignment horizontal="left" indent="2"/>
    </xf>
    <xf numFmtId="165" fontId="4" fillId="0" borderId="28" xfId="7" applyNumberFormat="1" applyFont="1" applyFill="1" applyBorder="1"/>
    <xf numFmtId="0" fontId="6" fillId="6" borderId="28" xfId="4" applyFont="1" applyFill="1" applyBorder="1" applyAlignment="1">
      <alignment horizontal="right" vertical="center"/>
    </xf>
    <xf numFmtId="0" fontId="4" fillId="0" borderId="0" xfId="4"/>
    <xf numFmtId="3" fontId="6" fillId="6" borderId="28" xfId="7" applyNumberFormat="1" applyFont="1" applyFill="1" applyBorder="1" applyAlignment="1">
      <alignment vertical="center"/>
    </xf>
    <xf numFmtId="3" fontId="4" fillId="0" borderId="28" xfId="7" applyNumberFormat="1" applyFont="1" applyFill="1" applyBorder="1" applyAlignment="1">
      <alignment vertical="center"/>
    </xf>
    <xf numFmtId="3" fontId="6" fillId="6" borderId="28" xfId="7" applyNumberFormat="1" applyFont="1" applyFill="1" applyBorder="1"/>
    <xf numFmtId="3" fontId="4" fillId="0" borderId="28" xfId="7" applyNumberFormat="1" applyFont="1" applyFill="1" applyBorder="1"/>
    <xf numFmtId="0" fontId="6" fillId="6" borderId="34" xfId="4" applyFont="1" applyFill="1" applyBorder="1" applyAlignment="1">
      <alignment horizontal="right" vertical="center"/>
    </xf>
    <xf numFmtId="0" fontId="5" fillId="0" borderId="73" xfId="4" applyFont="1" applyFill="1" applyBorder="1" applyAlignment="1">
      <alignment horizontal="left" indent="2"/>
    </xf>
    <xf numFmtId="0" fontId="5" fillId="0" borderId="0" xfId="4" applyFont="1" applyFill="1" applyBorder="1" applyAlignment="1">
      <alignment horizontal="left" indent="2"/>
    </xf>
    <xf numFmtId="43" fontId="6" fillId="6" borderId="28" xfId="7" applyFont="1" applyFill="1" applyBorder="1"/>
    <xf numFmtId="0" fontId="4" fillId="0" borderId="28" xfId="4" applyBorder="1" applyAlignment="1">
      <alignment vertical="center"/>
    </xf>
    <xf numFmtId="0" fontId="4" fillId="0" borderId="0" xfId="4" applyAlignment="1">
      <alignment vertical="center"/>
    </xf>
    <xf numFmtId="165" fontId="0" fillId="0" borderId="28" xfId="5" applyNumberFormat="1" applyFont="1" applyBorder="1" applyAlignment="1">
      <alignment vertical="center"/>
    </xf>
    <xf numFmtId="0" fontId="4" fillId="0" borderId="0" xfId="0" applyFont="1"/>
    <xf numFmtId="0" fontId="13" fillId="8" borderId="18" xfId="4" applyFont="1" applyFill="1" applyBorder="1" applyAlignment="1">
      <alignment horizontal="center"/>
    </xf>
    <xf numFmtId="0" fontId="13" fillId="0" borderId="19" xfId="4" applyFont="1" applyBorder="1" applyAlignment="1">
      <alignment horizontal="center" vertical="center"/>
    </xf>
    <xf numFmtId="0" fontId="13" fillId="0" borderId="20" xfId="4" applyFont="1" applyBorder="1" applyAlignment="1">
      <alignment vertical="center"/>
    </xf>
    <xf numFmtId="0" fontId="13" fillId="0" borderId="45" xfId="4" applyFont="1" applyBorder="1" applyAlignment="1">
      <alignment vertical="center"/>
    </xf>
    <xf numFmtId="0" fontId="13" fillId="0" borderId="21" xfId="4" applyFont="1" applyBorder="1" applyAlignment="1">
      <alignment vertical="center"/>
    </xf>
    <xf numFmtId="0" fontId="12" fillId="0" borderId="0" xfId="4" applyFont="1" applyAlignment="1">
      <alignment vertical="center"/>
    </xf>
    <xf numFmtId="0" fontId="13" fillId="0" borderId="7" xfId="4" applyFont="1" applyBorder="1" applyAlignment="1">
      <alignment horizontal="center" vertical="center"/>
    </xf>
    <xf numFmtId="0" fontId="13" fillId="0" borderId="80" xfId="4" applyFont="1" applyBorder="1" applyAlignment="1">
      <alignment horizontal="center" vertical="center"/>
    </xf>
    <xf numFmtId="0" fontId="13" fillId="0" borderId="18" xfId="4" applyFont="1" applyBorder="1" applyAlignment="1">
      <alignment vertical="center"/>
    </xf>
    <xf numFmtId="0" fontId="13" fillId="0" borderId="0" xfId="4" applyFont="1"/>
    <xf numFmtId="0" fontId="12" fillId="0" borderId="74" xfId="4" applyFont="1" applyBorder="1" applyAlignment="1">
      <alignment vertical="center"/>
    </xf>
    <xf numFmtId="0" fontId="12" fillId="0" borderId="76" xfId="4" applyFont="1" applyBorder="1" applyAlignment="1">
      <alignment vertical="center"/>
    </xf>
    <xf numFmtId="3" fontId="12" fillId="0" borderId="76" xfId="4" applyNumberFormat="1" applyFont="1" applyBorder="1" applyAlignment="1">
      <alignment vertical="center"/>
    </xf>
    <xf numFmtId="3" fontId="12" fillId="0" borderId="75" xfId="4" applyNumberFormat="1" applyFont="1" applyBorder="1" applyAlignment="1">
      <alignment vertical="center"/>
    </xf>
    <xf numFmtId="3" fontId="12" fillId="0" borderId="74" xfId="4" applyNumberFormat="1" applyFont="1" applyBorder="1" applyAlignment="1">
      <alignment vertical="center"/>
    </xf>
    <xf numFmtId="0" fontId="12" fillId="0" borderId="77" xfId="4" applyFont="1" applyBorder="1" applyAlignment="1">
      <alignment vertical="center"/>
    </xf>
    <xf numFmtId="0" fontId="12" fillId="0" borderId="79" xfId="4" applyFont="1" applyBorder="1" applyAlignment="1">
      <alignment vertical="center"/>
    </xf>
    <xf numFmtId="3" fontId="12" fillId="0" borderId="79" xfId="4" applyNumberFormat="1" applyFont="1" applyBorder="1" applyAlignment="1">
      <alignment vertical="center"/>
    </xf>
    <xf numFmtId="3" fontId="12" fillId="0" borderId="78" xfId="4" applyNumberFormat="1" applyFont="1" applyBorder="1" applyAlignment="1">
      <alignment vertical="center"/>
    </xf>
    <xf numFmtId="3" fontId="12" fillId="0" borderId="77" xfId="4" applyNumberFormat="1" applyFont="1" applyBorder="1" applyAlignment="1">
      <alignment vertical="center"/>
    </xf>
    <xf numFmtId="0" fontId="12" fillId="0" borderId="14" xfId="4" applyFont="1" applyBorder="1" applyAlignment="1">
      <alignment vertical="center"/>
    </xf>
    <xf numFmtId="0" fontId="12" fillId="0" borderId="4" xfId="4" applyFont="1" applyBorder="1" applyAlignment="1">
      <alignment vertical="center"/>
    </xf>
    <xf numFmtId="3" fontId="12" fillId="0" borderId="4" xfId="4" applyNumberFormat="1" applyFont="1" applyBorder="1" applyAlignment="1">
      <alignment vertical="center"/>
    </xf>
    <xf numFmtId="3" fontId="12" fillId="0" borderId="0" xfId="4" applyNumberFormat="1" applyFont="1" applyBorder="1" applyAlignment="1">
      <alignment vertical="center"/>
    </xf>
    <xf numFmtId="3" fontId="12" fillId="0" borderId="14" xfId="4" applyNumberFormat="1" applyFont="1" applyBorder="1" applyAlignment="1">
      <alignment vertical="center"/>
    </xf>
    <xf numFmtId="4" fontId="12" fillId="0" borderId="76" xfId="4" applyNumberFormat="1" applyFont="1" applyBorder="1" applyAlignment="1">
      <alignment vertical="center"/>
    </xf>
    <xf numFmtId="4" fontId="12" fillId="0" borderId="79" xfId="4" applyNumberFormat="1" applyFont="1" applyBorder="1" applyAlignment="1">
      <alignment vertical="center"/>
    </xf>
    <xf numFmtId="4" fontId="12" fillId="0" borderId="4" xfId="4" applyNumberFormat="1" applyFont="1" applyBorder="1"/>
    <xf numFmtId="4" fontId="12" fillId="0" borderId="4" xfId="4" applyNumberFormat="1" applyFont="1" applyBorder="1" applyAlignment="1">
      <alignment vertical="center"/>
    </xf>
    <xf numFmtId="4" fontId="13" fillId="0" borderId="6" xfId="4" applyNumberFormat="1" applyFont="1" applyBorder="1" applyAlignment="1">
      <alignment vertical="center"/>
    </xf>
    <xf numFmtId="4" fontId="13" fillId="0" borderId="21" xfId="4" applyNumberFormat="1" applyFont="1" applyBorder="1" applyAlignment="1">
      <alignment vertical="center"/>
    </xf>
    <xf numFmtId="4" fontId="13" fillId="0" borderId="19" xfId="4" applyNumberFormat="1" applyFont="1" applyBorder="1" applyAlignment="1">
      <alignment vertical="center"/>
    </xf>
    <xf numFmtId="4" fontId="13" fillId="0" borderId="18" xfId="4" applyNumberFormat="1" applyFont="1" applyBorder="1" applyAlignment="1">
      <alignment vertical="center"/>
    </xf>
    <xf numFmtId="0" fontId="13" fillId="8" borderId="5" xfId="4" applyFont="1" applyFill="1" applyBorder="1" applyAlignment="1">
      <alignment horizontal="center"/>
    </xf>
    <xf numFmtId="0" fontId="12" fillId="0" borderId="4" xfId="4" applyFont="1" applyBorder="1" applyAlignment="1">
      <alignment horizontal="center"/>
    </xf>
    <xf numFmtId="3" fontId="12" fillId="0" borderId="4" xfId="4" applyNumberFormat="1" applyFont="1" applyBorder="1" applyAlignment="1">
      <alignment horizontal="center"/>
    </xf>
    <xf numFmtId="3" fontId="12" fillId="0" borderId="0" xfId="4" applyNumberFormat="1" applyFont="1" applyBorder="1" applyAlignment="1">
      <alignment horizontal="center"/>
    </xf>
    <xf numFmtId="43" fontId="12" fillId="0" borderId="4" xfId="7" applyFont="1" applyBorder="1"/>
    <xf numFmtId="49" fontId="12" fillId="0" borderId="14" xfId="4" applyNumberFormat="1" applyFont="1" applyBorder="1"/>
    <xf numFmtId="0" fontId="12" fillId="0" borderId="11" xfId="4" applyFont="1" applyBorder="1"/>
    <xf numFmtId="0" fontId="12" fillId="0" borderId="8" xfId="4" applyFont="1" applyBorder="1"/>
    <xf numFmtId="0" fontId="12" fillId="0" borderId="0" xfId="4" applyFont="1" applyBorder="1"/>
    <xf numFmtId="0" fontId="12" fillId="0" borderId="74" xfId="4" applyFont="1" applyBorder="1"/>
    <xf numFmtId="0" fontId="12" fillId="0" borderId="76" xfId="4" applyFont="1" applyBorder="1" applyAlignment="1">
      <alignment horizontal="center"/>
    </xf>
    <xf numFmtId="3" fontId="12" fillId="0" borderId="76" xfId="4" applyNumberFormat="1" applyFont="1" applyBorder="1" applyAlignment="1">
      <alignment horizontal="center"/>
    </xf>
    <xf numFmtId="3" fontId="12" fillId="0" borderId="75" xfId="4" applyNumberFormat="1" applyFont="1" applyBorder="1" applyAlignment="1">
      <alignment horizontal="center"/>
    </xf>
    <xf numFmtId="0" fontId="12" fillId="0" borderId="77" xfId="4" applyFont="1" applyBorder="1"/>
    <xf numFmtId="0" fontId="12" fillId="0" borderId="79" xfId="4" applyFont="1" applyBorder="1" applyAlignment="1">
      <alignment horizontal="center"/>
    </xf>
    <xf numFmtId="3" fontId="12" fillId="0" borderId="79" xfId="4" applyNumberFormat="1" applyFont="1" applyBorder="1" applyAlignment="1">
      <alignment horizontal="center"/>
    </xf>
    <xf numFmtId="3" fontId="12" fillId="0" borderId="78" xfId="4" applyNumberFormat="1" applyFont="1" applyBorder="1" applyAlignment="1">
      <alignment horizontal="center"/>
    </xf>
    <xf numFmtId="0" fontId="12" fillId="0" borderId="4" xfId="4" applyFont="1" applyBorder="1" applyAlignment="1">
      <alignment horizontal="center" vertical="center"/>
    </xf>
    <xf numFmtId="3" fontId="12" fillId="0" borderId="4" xfId="4" applyNumberFormat="1" applyFont="1" applyBorder="1" applyAlignment="1">
      <alignment horizontal="center" vertical="center"/>
    </xf>
    <xf numFmtId="3" fontId="12" fillId="0" borderId="0" xfId="4" applyNumberFormat="1" applyFont="1" applyBorder="1" applyAlignment="1">
      <alignment horizontal="center" vertical="center"/>
    </xf>
    <xf numFmtId="49" fontId="12" fillId="0" borderId="14" xfId="4" applyNumberFormat="1" applyFont="1" applyBorder="1" applyAlignment="1">
      <alignment horizontal="center" vertical="center"/>
    </xf>
    <xf numFmtId="43" fontId="12" fillId="0" borderId="4" xfId="7" applyFont="1" applyBorder="1" applyAlignment="1">
      <alignment vertical="center"/>
    </xf>
    <xf numFmtId="49" fontId="12" fillId="0" borderId="14" xfId="4" applyNumberFormat="1" applyFont="1" applyBorder="1" applyAlignment="1">
      <alignment vertical="center"/>
    </xf>
    <xf numFmtId="0" fontId="12" fillId="0" borderId="76" xfId="4" applyFont="1" applyBorder="1" applyAlignment="1">
      <alignment horizontal="center" vertical="center"/>
    </xf>
    <xf numFmtId="3" fontId="12" fillId="0" borderId="76" xfId="4" applyNumberFormat="1" applyFont="1" applyBorder="1" applyAlignment="1">
      <alignment horizontal="center" vertical="center"/>
    </xf>
    <xf numFmtId="3" fontId="12" fillId="0" borderId="75" xfId="4" applyNumberFormat="1" applyFont="1" applyBorder="1" applyAlignment="1">
      <alignment horizontal="center" vertical="center"/>
    </xf>
    <xf numFmtId="49" fontId="12" fillId="0" borderId="74" xfId="4" applyNumberFormat="1" applyFont="1" applyBorder="1" applyAlignment="1">
      <alignment horizontal="center" vertical="center"/>
    </xf>
    <xf numFmtId="0" fontId="12" fillId="0" borderId="79" xfId="4" applyFont="1" applyBorder="1" applyAlignment="1">
      <alignment horizontal="center" vertical="center"/>
    </xf>
    <xf numFmtId="3" fontId="12" fillId="0" borderId="79" xfId="4" applyNumberFormat="1" applyFont="1" applyBorder="1" applyAlignment="1">
      <alignment horizontal="center" vertical="center"/>
    </xf>
    <xf numFmtId="3" fontId="12" fillId="0" borderId="78" xfId="4" applyNumberFormat="1" applyFont="1" applyBorder="1" applyAlignment="1">
      <alignment horizontal="center" vertical="center"/>
    </xf>
    <xf numFmtId="49" fontId="12" fillId="0" borderId="77" xfId="4" applyNumberFormat="1" applyFont="1" applyBorder="1" applyAlignment="1">
      <alignment horizontal="center" vertical="center"/>
    </xf>
    <xf numFmtId="43" fontId="12" fillId="0" borderId="79" xfId="7" applyFont="1" applyBorder="1" applyAlignment="1">
      <alignment vertical="center"/>
    </xf>
    <xf numFmtId="0" fontId="9" fillId="0" borderId="0" xfId="4" applyFont="1" applyFill="1" applyAlignment="1">
      <alignment horizontal="left"/>
    </xf>
    <xf numFmtId="167" fontId="12" fillId="0" borderId="14" xfId="4" applyNumberFormat="1" applyFont="1" applyBorder="1" applyAlignment="1">
      <alignment horizontal="center"/>
    </xf>
    <xf numFmtId="168" fontId="12" fillId="0" borderId="4" xfId="4" applyNumberFormat="1" applyFont="1" applyBorder="1"/>
    <xf numFmtId="0" fontId="12" fillId="5" borderId="0" xfId="4" applyFont="1" applyFill="1"/>
    <xf numFmtId="3" fontId="12" fillId="0" borderId="76" xfId="4" applyNumberFormat="1" applyFont="1" applyBorder="1"/>
    <xf numFmtId="167" fontId="12" fillId="0" borderId="74" xfId="4" applyNumberFormat="1" applyFont="1" applyBorder="1" applyAlignment="1">
      <alignment horizontal="center"/>
    </xf>
    <xf numFmtId="168" fontId="12" fillId="0" borderId="76" xfId="4" applyNumberFormat="1" applyFont="1" applyBorder="1"/>
    <xf numFmtId="3" fontId="12" fillId="0" borderId="79" xfId="4" applyNumberFormat="1" applyFont="1" applyBorder="1"/>
    <xf numFmtId="167" fontId="12" fillId="0" borderId="77" xfId="4" applyNumberFormat="1" applyFont="1" applyBorder="1" applyAlignment="1">
      <alignment horizontal="center"/>
    </xf>
    <xf numFmtId="168" fontId="12" fillId="0" borderId="79" xfId="4" applyNumberFormat="1" applyFont="1" applyBorder="1"/>
    <xf numFmtId="3" fontId="12" fillId="5" borderId="79" xfId="4" applyNumberFormat="1" applyFont="1" applyFill="1" applyBorder="1"/>
    <xf numFmtId="3" fontId="12" fillId="5" borderId="78" xfId="4" applyNumberFormat="1" applyFont="1" applyFill="1" applyBorder="1" applyAlignment="1">
      <alignment horizontal="center"/>
    </xf>
    <xf numFmtId="167" fontId="12" fillId="5" borderId="77" xfId="4" applyNumberFormat="1" applyFont="1" applyFill="1" applyBorder="1" applyAlignment="1">
      <alignment horizontal="center"/>
    </xf>
    <xf numFmtId="3" fontId="12" fillId="5" borderId="79" xfId="4" applyNumberFormat="1" applyFont="1" applyFill="1" applyBorder="1" applyAlignment="1">
      <alignment horizontal="center"/>
    </xf>
    <xf numFmtId="168" fontId="12" fillId="5" borderId="79" xfId="4" applyNumberFormat="1" applyFont="1" applyFill="1" applyBorder="1"/>
    <xf numFmtId="0" fontId="13" fillId="0" borderId="5" xfId="4" applyFont="1" applyBorder="1" applyAlignment="1">
      <alignment horizontal="center" vertical="center"/>
    </xf>
    <xf numFmtId="0" fontId="12" fillId="0" borderId="19" xfId="4" applyFont="1" applyBorder="1" applyAlignment="1">
      <alignment vertical="center"/>
    </xf>
    <xf numFmtId="0" fontId="12" fillId="0" borderId="20" xfId="4" applyFont="1" applyBorder="1" applyAlignment="1">
      <alignment vertical="center"/>
    </xf>
    <xf numFmtId="49" fontId="12" fillId="0" borderId="20" xfId="4" applyNumberFormat="1" applyFont="1" applyBorder="1" applyAlignment="1">
      <alignment vertical="center"/>
    </xf>
    <xf numFmtId="0" fontId="12" fillId="0" borderId="18" xfId="4" applyFont="1" applyBorder="1" applyAlignment="1">
      <alignment vertical="center"/>
    </xf>
    <xf numFmtId="43" fontId="13" fillId="0" borderId="5" xfId="7" applyFont="1" applyBorder="1" applyAlignment="1">
      <alignment vertical="center"/>
    </xf>
    <xf numFmtId="0" fontId="13" fillId="0" borderId="11" xfId="4" applyFont="1" applyBorder="1" applyAlignment="1">
      <alignment horizontal="center" vertical="center"/>
    </xf>
    <xf numFmtId="0" fontId="12" fillId="0" borderId="14" xfId="4" applyFont="1" applyBorder="1" applyAlignment="1">
      <alignment horizontal="center"/>
    </xf>
    <xf numFmtId="3" fontId="12" fillId="0" borderId="14" xfId="4" applyNumberFormat="1" applyFont="1" applyBorder="1" applyAlignment="1">
      <alignment horizontal="center"/>
    </xf>
    <xf numFmtId="43" fontId="12" fillId="0" borderId="14" xfId="7" applyFont="1" applyBorder="1"/>
    <xf numFmtId="3" fontId="12" fillId="0" borderId="11" xfId="4" applyNumberFormat="1" applyFont="1" applyBorder="1"/>
    <xf numFmtId="0" fontId="12" fillId="0" borderId="74" xfId="4" applyFont="1" applyBorder="1" applyAlignment="1">
      <alignment horizontal="center" vertical="center"/>
    </xf>
    <xf numFmtId="3" fontId="12" fillId="0" borderId="74" xfId="4" applyNumberFormat="1" applyFont="1" applyBorder="1" applyAlignment="1">
      <alignment horizontal="center" vertical="center"/>
    </xf>
    <xf numFmtId="43" fontId="12" fillId="0" borderId="74" xfId="7" applyFont="1" applyBorder="1" applyAlignment="1">
      <alignment vertical="center"/>
    </xf>
    <xf numFmtId="0" fontId="12" fillId="0" borderId="14" xfId="4" applyFont="1" applyBorder="1" applyAlignment="1">
      <alignment horizontal="center" vertical="center"/>
    </xf>
    <xf numFmtId="3" fontId="12" fillId="0" borderId="14" xfId="4" applyNumberFormat="1" applyFont="1" applyBorder="1" applyAlignment="1">
      <alignment horizontal="center" vertical="center"/>
    </xf>
    <xf numFmtId="0" fontId="12" fillId="0" borderId="77" xfId="4" applyFont="1" applyBorder="1" applyAlignment="1">
      <alignment horizontal="center" vertical="center"/>
    </xf>
    <xf numFmtId="3" fontId="12" fillId="0" borderId="77" xfId="4" applyNumberFormat="1" applyFont="1" applyBorder="1" applyAlignment="1">
      <alignment horizontal="center" vertical="center"/>
    </xf>
    <xf numFmtId="43" fontId="12" fillId="0" borderId="77" xfId="7" applyFont="1" applyBorder="1" applyAlignment="1">
      <alignment vertical="center"/>
    </xf>
    <xf numFmtId="43" fontId="12" fillId="0" borderId="14" xfId="7" applyFont="1" applyBorder="1" applyAlignment="1">
      <alignment vertical="center"/>
    </xf>
    <xf numFmtId="1" fontId="12" fillId="0" borderId="20" xfId="4" applyNumberFormat="1" applyFont="1" applyBorder="1" applyAlignment="1">
      <alignment horizontal="center" vertical="center"/>
    </xf>
    <xf numFmtId="4" fontId="13" fillId="0" borderId="5" xfId="4" applyNumberFormat="1" applyFont="1" applyBorder="1" applyAlignment="1">
      <alignment vertical="center"/>
    </xf>
    <xf numFmtId="0" fontId="13" fillId="7" borderId="19" xfId="0" applyFont="1" applyFill="1" applyBorder="1" applyAlignment="1">
      <alignment horizontal="center" vertical="center" wrapText="1"/>
    </xf>
    <xf numFmtId="0" fontId="13" fillId="7" borderId="18" xfId="0" applyFont="1" applyFill="1" applyBorder="1" applyAlignment="1">
      <alignment horizontal="center" vertical="center" wrapText="1"/>
    </xf>
    <xf numFmtId="0" fontId="13" fillId="7" borderId="39" xfId="0" applyFont="1" applyFill="1" applyBorder="1" applyAlignment="1">
      <alignment horizontal="center" vertical="center" wrapText="1"/>
    </xf>
    <xf numFmtId="0" fontId="13" fillId="7" borderId="16" xfId="0" applyFont="1" applyFill="1" applyBorder="1" applyAlignment="1">
      <alignment horizontal="center" vertical="center" wrapText="1"/>
    </xf>
    <xf numFmtId="0" fontId="0" fillId="0" borderId="0" xfId="0"/>
    <xf numFmtId="0" fontId="12" fillId="0" borderId="0" xfId="2" applyFont="1" applyFill="1" applyBorder="1" applyAlignment="1">
      <alignment horizontal="left" vertical="center"/>
    </xf>
    <xf numFmtId="0" fontId="13" fillId="0" borderId="0" xfId="2" applyFont="1" applyFill="1" applyBorder="1" applyAlignment="1">
      <alignment vertical="center"/>
    </xf>
    <xf numFmtId="0" fontId="12" fillId="0" borderId="0" xfId="4" applyFont="1" applyFill="1"/>
    <xf numFmtId="0" fontId="13" fillId="0" borderId="0" xfId="4" applyFont="1" applyBorder="1"/>
    <xf numFmtId="49" fontId="12" fillId="0" borderId="0" xfId="3" applyFont="1" applyAlignment="1">
      <alignment vertical="center"/>
    </xf>
    <xf numFmtId="49" fontId="12" fillId="0" borderId="0" xfId="1" applyNumberFormat="1" applyFont="1" applyFill="1" applyAlignment="1">
      <alignment horizontal="left" vertical="center"/>
    </xf>
    <xf numFmtId="0" fontId="13" fillId="2" borderId="11" xfId="2" applyFont="1" applyFill="1" applyBorder="1" applyAlignment="1">
      <alignment horizontal="center" vertical="center"/>
    </xf>
    <xf numFmtId="0" fontId="12" fillId="0" borderId="4" xfId="2" applyFont="1" applyBorder="1" applyAlignment="1">
      <alignment vertical="center"/>
    </xf>
    <xf numFmtId="0" fontId="13" fillId="2" borderId="18" xfId="2" applyFont="1" applyFill="1" applyBorder="1" applyAlignment="1">
      <alignment vertical="center"/>
    </xf>
    <xf numFmtId="0" fontId="12" fillId="0" borderId="14" xfId="2" applyFont="1" applyBorder="1" applyAlignment="1">
      <alignment vertical="center"/>
    </xf>
    <xf numFmtId="0" fontId="13" fillId="2" borderId="5" xfId="2" applyFont="1" applyFill="1" applyBorder="1" applyAlignment="1">
      <alignment vertical="center"/>
    </xf>
    <xf numFmtId="0" fontId="13" fillId="0" borderId="14" xfId="2" applyFont="1" applyFill="1" applyBorder="1" applyAlignment="1">
      <alignment vertical="center"/>
    </xf>
    <xf numFmtId="0" fontId="13" fillId="0" borderId="4" xfId="2" applyFont="1" applyFill="1" applyBorder="1" applyAlignment="1">
      <alignment vertical="center"/>
    </xf>
    <xf numFmtId="0" fontId="13" fillId="2" borderId="7" xfId="2" applyFont="1" applyFill="1" applyBorder="1" applyAlignment="1">
      <alignment horizontal="center" vertical="center"/>
    </xf>
    <xf numFmtId="0" fontId="13" fillId="2" borderId="21" xfId="2" applyFont="1" applyFill="1" applyBorder="1" applyAlignment="1">
      <alignment horizontal="center" vertical="center"/>
    </xf>
    <xf numFmtId="0" fontId="13" fillId="0" borderId="14" xfId="2" applyFont="1" applyFill="1" applyBorder="1" applyAlignment="1">
      <alignment horizontal="left" vertical="center"/>
    </xf>
    <xf numFmtId="0" fontId="13" fillId="0" borderId="4" xfId="2" applyFont="1" applyFill="1" applyBorder="1" applyAlignment="1">
      <alignment horizontal="left" vertical="center"/>
    </xf>
    <xf numFmtId="0" fontId="13" fillId="2" borderId="8" xfId="2" applyFont="1" applyFill="1" applyBorder="1" applyAlignment="1">
      <alignment horizontal="center" vertical="center"/>
    </xf>
    <xf numFmtId="0" fontId="12" fillId="0" borderId="8" xfId="2" applyFont="1" applyBorder="1" applyAlignment="1">
      <alignment horizontal="center" vertical="center"/>
    </xf>
    <xf numFmtId="0" fontId="13" fillId="2" borderId="4" xfId="2" applyFont="1" applyFill="1" applyBorder="1" applyAlignment="1">
      <alignment horizontal="center" vertical="center"/>
    </xf>
    <xf numFmtId="0" fontId="13" fillId="0" borderId="11" xfId="2" applyFont="1" applyBorder="1" applyAlignment="1">
      <alignment horizontal="left" vertical="center"/>
    </xf>
    <xf numFmtId="0" fontId="13" fillId="0" borderId="0" xfId="2" applyFont="1" applyFill="1" applyAlignment="1">
      <alignment vertical="center"/>
    </xf>
    <xf numFmtId="0" fontId="9" fillId="0" borderId="0" xfId="2" applyFont="1" applyFill="1" applyAlignment="1">
      <alignment vertical="center"/>
    </xf>
    <xf numFmtId="0" fontId="13" fillId="7" borderId="5" xfId="2" applyFont="1" applyFill="1" applyBorder="1" applyAlignment="1">
      <alignment horizontal="center" vertical="center"/>
    </xf>
    <xf numFmtId="0" fontId="13" fillId="7" borderId="18" xfId="2" applyFont="1" applyFill="1" applyBorder="1" applyAlignment="1">
      <alignment horizontal="center" vertical="center" wrapText="1"/>
    </xf>
    <xf numFmtId="0" fontId="13" fillId="7" borderId="5" xfId="2" applyFont="1" applyFill="1" applyBorder="1" applyAlignment="1">
      <alignment horizontal="center" vertical="center" wrapText="1"/>
    </xf>
    <xf numFmtId="0" fontId="12" fillId="0" borderId="0" xfId="4" applyFont="1"/>
    <xf numFmtId="0" fontId="13" fillId="7" borderId="61" xfId="2" applyFont="1" applyFill="1" applyBorder="1" applyAlignment="1">
      <alignment horizontal="center" vertical="center" wrapText="1"/>
    </xf>
    <xf numFmtId="0" fontId="13" fillId="0" borderId="44" xfId="2" applyFont="1" applyBorder="1" applyAlignment="1">
      <alignment vertical="center"/>
    </xf>
    <xf numFmtId="0" fontId="24" fillId="0" borderId="0" xfId="2" applyFont="1" applyFill="1" applyAlignment="1">
      <alignment vertical="center"/>
    </xf>
    <xf numFmtId="0" fontId="25" fillId="0" borderId="0" xfId="0" applyFont="1" applyFill="1"/>
    <xf numFmtId="0" fontId="24" fillId="0" borderId="0" xfId="0" applyFont="1" applyBorder="1"/>
    <xf numFmtId="0" fontId="24" fillId="0" borderId="0" xfId="0" applyFont="1"/>
    <xf numFmtId="49" fontId="26" fillId="0" borderId="0" xfId="1" quotePrefix="1" applyNumberFormat="1" applyFont="1" applyFill="1" applyAlignment="1">
      <alignment horizontal="left" vertical="center"/>
    </xf>
    <xf numFmtId="0" fontId="25" fillId="0" borderId="0" xfId="0" applyFont="1"/>
    <xf numFmtId="0" fontId="24" fillId="7" borderId="19" xfId="2" applyFont="1" applyFill="1" applyBorder="1" applyAlignment="1">
      <alignment horizontal="center" vertical="center"/>
    </xf>
    <xf numFmtId="0" fontId="24" fillId="7" borderId="18" xfId="2" applyFont="1" applyFill="1" applyBorder="1" applyAlignment="1">
      <alignment horizontal="center" vertical="center" wrapText="1"/>
    </xf>
    <xf numFmtId="0" fontId="24" fillId="0" borderId="0" xfId="2" applyFont="1" applyFill="1" applyBorder="1" applyAlignment="1">
      <alignment vertical="center"/>
    </xf>
    <xf numFmtId="0" fontId="24" fillId="2" borderId="5" xfId="2" applyFont="1" applyFill="1" applyBorder="1" applyAlignment="1">
      <alignment horizontal="center" vertical="center"/>
    </xf>
    <xf numFmtId="0" fontId="24" fillId="2" borderId="19" xfId="2" applyFont="1" applyFill="1" applyBorder="1" applyAlignment="1">
      <alignment horizontal="center" vertical="center"/>
    </xf>
    <xf numFmtId="0" fontId="24" fillId="2" borderId="5" xfId="2" applyFont="1" applyFill="1" applyBorder="1" applyAlignment="1">
      <alignment vertical="center"/>
    </xf>
    <xf numFmtId="0" fontId="24" fillId="0" borderId="0" xfId="2" applyFont="1" applyFill="1" applyBorder="1" applyAlignment="1">
      <alignment horizontal="center" vertical="center"/>
    </xf>
    <xf numFmtId="49" fontId="25" fillId="0" borderId="0" xfId="1" applyNumberFormat="1" applyFont="1" applyFill="1" applyAlignment="1">
      <alignment horizontal="left" vertical="center"/>
    </xf>
    <xf numFmtId="0" fontId="28" fillId="0" borderId="0" xfId="4" applyFont="1"/>
    <xf numFmtId="0" fontId="13" fillId="2" borderId="62" xfId="2" applyFont="1" applyFill="1" applyBorder="1" applyAlignment="1">
      <alignment vertical="center"/>
    </xf>
    <xf numFmtId="3" fontId="13" fillId="2" borderId="83" xfId="2" applyNumberFormat="1" applyFont="1" applyFill="1" applyBorder="1" applyAlignment="1">
      <alignment vertical="center"/>
    </xf>
    <xf numFmtId="0" fontId="13" fillId="2" borderId="83" xfId="2" applyFont="1" applyFill="1" applyBorder="1" applyAlignment="1">
      <alignment vertical="center"/>
    </xf>
    <xf numFmtId="0" fontId="13" fillId="2" borderId="82" xfId="2" applyFont="1" applyFill="1" applyBorder="1" applyAlignment="1">
      <alignment horizontal="center" vertical="center"/>
    </xf>
    <xf numFmtId="0" fontId="13" fillId="2" borderId="62" xfId="2" applyFont="1" applyFill="1" applyBorder="1" applyAlignment="1">
      <alignment horizontal="center" vertical="center"/>
    </xf>
    <xf numFmtId="170" fontId="12" fillId="0" borderId="81" xfId="2" applyNumberFormat="1" applyFont="1" applyBorder="1" applyAlignment="1">
      <alignment horizontal="center" vertical="center"/>
    </xf>
    <xf numFmtId="0" fontId="13" fillId="0" borderId="81" xfId="2" applyFont="1" applyBorder="1" applyAlignment="1">
      <alignment vertical="center"/>
    </xf>
    <xf numFmtId="0" fontId="12" fillId="5" borderId="81" xfId="4" applyFont="1" applyFill="1" applyBorder="1" applyAlignment="1">
      <alignment horizontal="center" vertical="center" wrapText="1"/>
    </xf>
    <xf numFmtId="0" fontId="12" fillId="5" borderId="81" xfId="4" applyFont="1" applyFill="1" applyBorder="1" applyAlignment="1">
      <alignment horizontal="justify" vertical="top" wrapText="1"/>
    </xf>
    <xf numFmtId="167" fontId="12" fillId="5" borderId="81" xfId="4" applyNumberFormat="1" applyFont="1" applyFill="1" applyBorder="1" applyAlignment="1">
      <alignment horizontal="center" vertical="center" wrapText="1"/>
    </xf>
    <xf numFmtId="3" fontId="12" fillId="0" borderId="81" xfId="2" applyNumberFormat="1" applyFont="1" applyBorder="1" applyAlignment="1">
      <alignment horizontal="center" vertical="center"/>
    </xf>
    <xf numFmtId="0" fontId="12" fillId="0" borderId="81" xfId="2" applyFont="1" applyBorder="1" applyAlignment="1">
      <alignment horizontal="center" vertical="center" wrapText="1"/>
    </xf>
    <xf numFmtId="0" fontId="29" fillId="0" borderId="81" xfId="2" applyFont="1" applyBorder="1" applyAlignment="1">
      <alignment horizontal="center" vertical="center"/>
    </xf>
    <xf numFmtId="1" fontId="12" fillId="5" borderId="81" xfId="4" quotePrefix="1" applyNumberFormat="1" applyFont="1" applyFill="1" applyBorder="1" applyAlignment="1">
      <alignment horizontal="justify" vertical="top" wrapText="1"/>
    </xf>
    <xf numFmtId="170" fontId="12" fillId="0" borderId="44" xfId="2" applyNumberFormat="1" applyFont="1" applyBorder="1" applyAlignment="1">
      <alignment horizontal="center" vertical="center"/>
    </xf>
    <xf numFmtId="0" fontId="12" fillId="5" borderId="44" xfId="4" applyFont="1" applyFill="1" applyBorder="1" applyAlignment="1">
      <alignment horizontal="center" vertical="center" wrapText="1"/>
    </xf>
    <xf numFmtId="0" fontId="12" fillId="5" borderId="44" xfId="4" applyFont="1" applyFill="1" applyBorder="1" applyAlignment="1">
      <alignment horizontal="justify" vertical="top" wrapText="1"/>
    </xf>
    <xf numFmtId="167" fontId="12" fillId="5" borderId="44" xfId="4" applyNumberFormat="1" applyFont="1" applyFill="1" applyBorder="1" applyAlignment="1">
      <alignment horizontal="center" vertical="center" wrapText="1"/>
    </xf>
    <xf numFmtId="3" fontId="12" fillId="0" borderId="44" xfId="2" applyNumberFormat="1" applyFont="1" applyBorder="1" applyAlignment="1">
      <alignment horizontal="center" vertical="center"/>
    </xf>
    <xf numFmtId="0" fontId="12" fillId="0" borderId="44" xfId="2" applyFont="1" applyBorder="1" applyAlignment="1">
      <alignment horizontal="center" vertical="center" wrapText="1"/>
    </xf>
    <xf numFmtId="0" fontId="29" fillId="0" borderId="44" xfId="2" applyFont="1" applyBorder="1" applyAlignment="1">
      <alignment horizontal="center" vertical="center"/>
    </xf>
    <xf numFmtId="1" fontId="12" fillId="5" borderId="44" xfId="4" quotePrefix="1" applyNumberFormat="1" applyFont="1" applyFill="1" applyBorder="1" applyAlignment="1">
      <alignment horizontal="justify" vertical="top" wrapText="1"/>
    </xf>
    <xf numFmtId="0" fontId="13" fillId="5" borderId="65" xfId="2" applyFont="1" applyFill="1" applyBorder="1" applyAlignment="1">
      <alignment horizontal="center" vertical="center" wrapText="1"/>
    </xf>
    <xf numFmtId="0" fontId="13" fillId="5" borderId="65" xfId="2" applyFont="1" applyFill="1" applyBorder="1" applyAlignment="1">
      <alignment horizontal="justify" vertical="top" wrapText="1"/>
    </xf>
    <xf numFmtId="0" fontId="30" fillId="5" borderId="65" xfId="2" applyFont="1" applyFill="1" applyBorder="1" applyAlignment="1">
      <alignment vertical="center"/>
    </xf>
    <xf numFmtId="0" fontId="13" fillId="2" borderId="62" xfId="2" applyFont="1" applyFill="1" applyBorder="1" applyAlignment="1">
      <alignment horizontal="justify" vertical="top"/>
    </xf>
    <xf numFmtId="3" fontId="13" fillId="2" borderId="62" xfId="2" applyNumberFormat="1" applyFont="1" applyFill="1" applyBorder="1" applyAlignment="1">
      <alignment vertical="center"/>
    </xf>
    <xf numFmtId="14" fontId="12" fillId="5" borderId="44" xfId="4" applyNumberFormat="1" applyFont="1" applyFill="1" applyBorder="1" applyAlignment="1">
      <alignment horizontal="center" vertical="center" wrapText="1"/>
    </xf>
    <xf numFmtId="14" fontId="12" fillId="5" borderId="44" xfId="4" applyNumberFormat="1" applyFont="1" applyFill="1" applyBorder="1" applyAlignment="1">
      <alignment horizontal="center" vertical="center"/>
    </xf>
    <xf numFmtId="0" fontId="12" fillId="0" borderId="44" xfId="4" applyFont="1" applyBorder="1" applyAlignment="1">
      <alignment horizontal="justify" vertical="top" wrapText="1"/>
    </xf>
    <xf numFmtId="170" fontId="12" fillId="5" borderId="44" xfId="4" applyNumberFormat="1" applyFont="1" applyFill="1" applyBorder="1" applyAlignment="1">
      <alignment horizontal="center" vertical="center"/>
    </xf>
    <xf numFmtId="0" fontId="12" fillId="0" borderId="44" xfId="4" quotePrefix="1" applyFont="1" applyBorder="1" applyAlignment="1">
      <alignment horizontal="justify" vertical="top" wrapText="1"/>
    </xf>
    <xf numFmtId="170" fontId="12" fillId="5" borderId="44" xfId="4" applyNumberFormat="1" applyFont="1" applyFill="1" applyBorder="1" applyAlignment="1">
      <alignment horizontal="center" vertical="center" wrapText="1"/>
    </xf>
    <xf numFmtId="0" fontId="13" fillId="5" borderId="44" xfId="2" applyFont="1" applyFill="1" applyBorder="1" applyAlignment="1">
      <alignment horizontal="center" vertical="center" wrapText="1"/>
    </xf>
    <xf numFmtId="0" fontId="30" fillId="5" borderId="44" xfId="2" applyFont="1" applyFill="1" applyBorder="1" applyAlignment="1">
      <alignment vertical="center"/>
    </xf>
    <xf numFmtId="0" fontId="13" fillId="7" borderId="61" xfId="2" applyFont="1" applyFill="1" applyBorder="1" applyAlignment="1">
      <alignment horizontal="center" vertical="center"/>
    </xf>
    <xf numFmtId="0" fontId="13" fillId="0" borderId="0" xfId="4" applyFont="1" applyBorder="1" applyAlignment="1">
      <alignment vertical="center"/>
    </xf>
    <xf numFmtId="0" fontId="5" fillId="0" borderId="0" xfId="4" applyFont="1"/>
    <xf numFmtId="166" fontId="5" fillId="0" borderId="28" xfId="4" applyNumberFormat="1" applyFont="1" applyBorder="1" applyAlignment="1">
      <alignment horizontal="center" vertical="center" wrapText="1"/>
    </xf>
    <xf numFmtId="9" fontId="5" fillId="0" borderId="28" xfId="4" applyNumberFormat="1" applyFont="1" applyBorder="1" applyAlignment="1">
      <alignment horizontal="center" vertical="center" wrapText="1"/>
    </xf>
    <xf numFmtId="0" fontId="5" fillId="0" borderId="28" xfId="4" applyFont="1" applyBorder="1" applyAlignment="1">
      <alignment horizontal="center" vertical="center" wrapText="1"/>
    </xf>
    <xf numFmtId="0" fontId="5" fillId="0" borderId="28" xfId="4" applyFont="1" applyBorder="1" applyAlignment="1">
      <alignment horizontal="justify" vertical="center" wrapText="1"/>
    </xf>
    <xf numFmtId="166" fontId="5" fillId="5" borderId="28" xfId="4" applyNumberFormat="1" applyFont="1" applyFill="1" applyBorder="1" applyAlignment="1">
      <alignment horizontal="center" vertical="center"/>
    </xf>
    <xf numFmtId="9" fontId="5" fillId="5" borderId="28" xfId="4" applyNumberFormat="1" applyFont="1" applyFill="1" applyBorder="1" applyAlignment="1">
      <alignment horizontal="center" vertical="center"/>
    </xf>
    <xf numFmtId="9" fontId="5" fillId="5" borderId="28" xfId="4" applyNumberFormat="1" applyFont="1" applyFill="1" applyBorder="1" applyAlignment="1">
      <alignment horizontal="center" vertical="center" wrapText="1"/>
    </xf>
    <xf numFmtId="0" fontId="9" fillId="7" borderId="23" xfId="4" applyFont="1" applyFill="1" applyBorder="1" applyAlignment="1">
      <alignment horizontal="center" vertical="center" wrapText="1"/>
    </xf>
    <xf numFmtId="0" fontId="9" fillId="7" borderId="32" xfId="4" applyFont="1" applyFill="1" applyBorder="1" applyAlignment="1">
      <alignment horizontal="center" vertical="center" wrapText="1"/>
    </xf>
    <xf numFmtId="9" fontId="5" fillId="0" borderId="84" xfId="4" applyNumberFormat="1" applyFont="1" applyBorder="1" applyAlignment="1">
      <alignment horizontal="center" vertical="center" wrapText="1"/>
    </xf>
    <xf numFmtId="9" fontId="5" fillId="0" borderId="48" xfId="4" applyNumberFormat="1" applyFont="1" applyBorder="1" applyAlignment="1">
      <alignment horizontal="center" vertical="center" wrapText="1"/>
    </xf>
    <xf numFmtId="0" fontId="5" fillId="0" borderId="37" xfId="4" applyFont="1" applyBorder="1" applyAlignment="1">
      <alignment horizontal="center" vertical="center" wrapText="1"/>
    </xf>
    <xf numFmtId="0" fontId="5" fillId="0" borderId="16" xfId="4" applyFont="1" applyBorder="1" applyAlignment="1">
      <alignment horizontal="center" vertical="center" wrapText="1"/>
    </xf>
    <xf numFmtId="0" fontId="5" fillId="0" borderId="48" xfId="4" applyFont="1" applyBorder="1" applyAlignment="1">
      <alignment horizontal="center" vertical="center" wrapText="1"/>
    </xf>
    <xf numFmtId="0" fontId="19" fillId="0" borderId="9" xfId="4" applyFont="1" applyBorder="1" applyAlignment="1">
      <alignment horizontal="center" vertical="center"/>
    </xf>
    <xf numFmtId="0" fontId="5" fillId="0" borderId="36" xfId="4" applyFont="1" applyBorder="1" applyAlignment="1">
      <alignment horizontal="center" vertical="center" wrapText="1"/>
    </xf>
    <xf numFmtId="0" fontId="5" fillId="0" borderId="37" xfId="4" applyFont="1" applyBorder="1" applyAlignment="1">
      <alignment horizontal="justify" vertical="center" wrapText="1"/>
    </xf>
    <xf numFmtId="0" fontId="5" fillId="0" borderId="35" xfId="4" applyFont="1" applyBorder="1" applyAlignment="1">
      <alignment horizontal="justify" vertical="center" wrapText="1"/>
    </xf>
    <xf numFmtId="0" fontId="5" fillId="0" borderId="31" xfId="4" applyFont="1" applyBorder="1" applyAlignment="1">
      <alignment horizontal="center" vertical="center" wrapText="1"/>
    </xf>
    <xf numFmtId="0" fontId="5" fillId="0" borderId="32" xfId="4" applyFont="1" applyBorder="1" applyAlignment="1">
      <alignment horizontal="center" vertical="center" wrapText="1"/>
    </xf>
    <xf numFmtId="0" fontId="5" fillId="0" borderId="29" xfId="4" applyFont="1" applyBorder="1" applyAlignment="1">
      <alignment horizontal="center" vertical="center" wrapText="1"/>
    </xf>
    <xf numFmtId="9" fontId="5" fillId="0" borderId="32" xfId="4" applyNumberFormat="1" applyFont="1" applyBorder="1" applyAlignment="1">
      <alignment horizontal="center" vertical="center" wrapText="1"/>
    </xf>
    <xf numFmtId="0" fontId="5" fillId="0" borderId="0" xfId="4" applyFont="1" applyFill="1" applyAlignment="1">
      <alignment horizontal="left"/>
    </xf>
    <xf numFmtId="0" fontId="5" fillId="0" borderId="0" xfId="4" applyFont="1" applyAlignment="1">
      <alignment horizontal="justify" vertical="center" wrapText="1"/>
    </xf>
    <xf numFmtId="9" fontId="5" fillId="0" borderId="36" xfId="4" applyNumberFormat="1" applyFont="1" applyBorder="1" applyAlignment="1">
      <alignment horizontal="justify" vertical="center" wrapText="1"/>
    </xf>
    <xf numFmtId="9" fontId="5" fillId="0" borderId="37" xfId="4" applyNumberFormat="1" applyFont="1" applyBorder="1" applyAlignment="1">
      <alignment horizontal="justify" vertical="center" wrapText="1"/>
    </xf>
    <xf numFmtId="0" fontId="5" fillId="0" borderId="35" xfId="4" applyFont="1" applyBorder="1" applyAlignment="1">
      <alignment horizontal="justify" vertical="center"/>
    </xf>
    <xf numFmtId="0" fontId="5" fillId="0" borderId="29" xfId="4" applyFont="1" applyBorder="1" applyAlignment="1">
      <alignment horizontal="justify" vertical="center" wrapText="1"/>
    </xf>
    <xf numFmtId="0" fontId="5" fillId="0" borderId="26" xfId="4" applyFont="1" applyBorder="1" applyAlignment="1">
      <alignment horizontal="justify" vertical="center" wrapText="1"/>
    </xf>
    <xf numFmtId="0" fontId="5" fillId="0" borderId="26" xfId="4" applyFont="1" applyBorder="1" applyAlignment="1">
      <alignment horizontal="justify" vertical="center"/>
    </xf>
    <xf numFmtId="9" fontId="5" fillId="0" borderId="29" xfId="4" applyNumberFormat="1" applyFont="1" applyBorder="1" applyAlignment="1">
      <alignment horizontal="justify" vertical="center" wrapText="1"/>
    </xf>
    <xf numFmtId="9" fontId="5" fillId="0" borderId="28" xfId="4" applyNumberFormat="1" applyFont="1" applyBorder="1" applyAlignment="1">
      <alignment horizontal="justify" vertical="center" wrapText="1"/>
    </xf>
    <xf numFmtId="10" fontId="5" fillId="0" borderId="28" xfId="4" applyNumberFormat="1" applyFont="1" applyBorder="1" applyAlignment="1">
      <alignment horizontal="justify" vertical="center" wrapText="1"/>
    </xf>
    <xf numFmtId="166" fontId="5" fillId="0" borderId="28" xfId="4" applyNumberFormat="1" applyFont="1" applyBorder="1" applyAlignment="1">
      <alignment horizontal="justify" vertical="center" wrapText="1"/>
    </xf>
    <xf numFmtId="4" fontId="5" fillId="0" borderId="29" xfId="4" applyNumberFormat="1" applyFont="1" applyBorder="1" applyAlignment="1">
      <alignment horizontal="justify" vertical="center" wrapText="1"/>
    </xf>
    <xf numFmtId="4" fontId="5" fillId="0" borderId="28" xfId="4" applyNumberFormat="1" applyFont="1" applyBorder="1" applyAlignment="1">
      <alignment horizontal="justify" vertical="center" wrapText="1"/>
    </xf>
    <xf numFmtId="3" fontId="5" fillId="0" borderId="29" xfId="4" applyNumberFormat="1" applyFont="1" applyBorder="1" applyAlignment="1">
      <alignment horizontal="justify" vertical="center" wrapText="1"/>
    </xf>
    <xf numFmtId="3" fontId="5" fillId="0" borderId="28" xfId="4" applyNumberFormat="1" applyFont="1" applyBorder="1" applyAlignment="1">
      <alignment horizontal="justify" vertical="center" wrapText="1"/>
    </xf>
    <xf numFmtId="0" fontId="5" fillId="0" borderId="0" xfId="4" applyFont="1" applyAlignment="1">
      <alignment horizontal="center" vertical="center" wrapText="1"/>
    </xf>
    <xf numFmtId="0" fontId="9" fillId="7" borderId="25" xfId="4" applyFont="1" applyFill="1" applyBorder="1" applyAlignment="1">
      <alignment horizontal="center" vertical="center" wrapText="1"/>
    </xf>
    <xf numFmtId="0" fontId="9" fillId="7" borderId="31" xfId="4" applyFont="1" applyFill="1" applyBorder="1" applyAlignment="1">
      <alignment horizontal="center" vertical="center" wrapText="1"/>
    </xf>
    <xf numFmtId="0" fontId="4" fillId="0" borderId="0" xfId="4" applyFont="1" applyFill="1"/>
    <xf numFmtId="0" fontId="5" fillId="0" borderId="30" xfId="4" applyFont="1" applyBorder="1" applyAlignment="1">
      <alignment horizontal="center" vertical="center" wrapText="1"/>
    </xf>
    <xf numFmtId="0" fontId="5" fillId="0" borderId="35" xfId="4" applyFont="1" applyBorder="1" applyAlignment="1">
      <alignment horizontal="center" vertical="center" wrapText="1"/>
    </xf>
    <xf numFmtId="0" fontId="5" fillId="0" borderId="39" xfId="4" applyFont="1" applyBorder="1" applyAlignment="1">
      <alignment horizontal="center" vertical="center" wrapText="1"/>
    </xf>
    <xf numFmtId="0" fontId="5" fillId="0" borderId="10" xfId="4" applyFont="1" applyBorder="1" applyAlignment="1">
      <alignment horizontal="center" vertical="center" wrapText="1"/>
    </xf>
    <xf numFmtId="0" fontId="5" fillId="0" borderId="26" xfId="4" applyFont="1" applyBorder="1" applyAlignment="1">
      <alignment horizontal="center" vertical="center" wrapText="1"/>
    </xf>
    <xf numFmtId="0" fontId="5" fillId="0" borderId="0" xfId="4" applyFont="1" applyBorder="1" applyAlignment="1">
      <alignment horizontal="justify" vertical="center"/>
    </xf>
    <xf numFmtId="0" fontId="5" fillId="0" borderId="0" xfId="4" applyFont="1" applyBorder="1" applyAlignment="1">
      <alignment horizontal="justify" vertical="center" wrapText="1"/>
    </xf>
    <xf numFmtId="9" fontId="5" fillId="0" borderId="0" xfId="4" applyNumberFormat="1" applyFont="1" applyBorder="1" applyAlignment="1">
      <alignment horizontal="justify" vertical="center" wrapText="1"/>
    </xf>
    <xf numFmtId="166" fontId="5" fillId="0" borderId="0" xfId="4" applyNumberFormat="1" applyFont="1" applyBorder="1" applyAlignment="1">
      <alignment horizontal="justify" vertical="center" wrapText="1"/>
    </xf>
    <xf numFmtId="10" fontId="5" fillId="0" borderId="0" xfId="4" applyNumberFormat="1" applyFont="1" applyBorder="1" applyAlignment="1">
      <alignment horizontal="justify" vertical="center" wrapText="1"/>
    </xf>
    <xf numFmtId="0" fontId="5" fillId="0" borderId="34" xfId="4" applyFont="1" applyBorder="1" applyAlignment="1">
      <alignment horizontal="center" vertical="center" wrapText="1"/>
    </xf>
    <xf numFmtId="0" fontId="5" fillId="0" borderId="34" xfId="4" applyFont="1" applyBorder="1" applyAlignment="1">
      <alignment horizontal="justify" vertical="center" wrapText="1"/>
    </xf>
    <xf numFmtId="9" fontId="5" fillId="0" borderId="34" xfId="4" applyNumberFormat="1" applyFont="1" applyBorder="1" applyAlignment="1">
      <alignment horizontal="justify" vertical="center" wrapText="1"/>
    </xf>
    <xf numFmtId="9" fontId="5" fillId="0" borderId="86" xfId="4" applyNumberFormat="1" applyFont="1" applyBorder="1" applyAlignment="1">
      <alignment horizontal="justify" vertical="center" wrapText="1"/>
    </xf>
    <xf numFmtId="0" fontId="19" fillId="0" borderId="12" xfId="4" applyFont="1" applyBorder="1" applyAlignment="1">
      <alignment vertical="center"/>
    </xf>
    <xf numFmtId="0" fontId="19" fillId="0" borderId="14" xfId="4" applyFont="1" applyBorder="1" applyAlignment="1">
      <alignment vertical="center"/>
    </xf>
    <xf numFmtId="0" fontId="5" fillId="0" borderId="0" xfId="4" applyFont="1" applyBorder="1" applyAlignment="1">
      <alignment vertical="center" wrapText="1"/>
    </xf>
    <xf numFmtId="0" fontId="19" fillId="0" borderId="0" xfId="4" applyFont="1" applyBorder="1" applyAlignment="1">
      <alignment vertical="center" wrapText="1"/>
    </xf>
    <xf numFmtId="0" fontId="19" fillId="0" borderId="0" xfId="4" applyFont="1" applyBorder="1" applyAlignment="1">
      <alignment vertical="center"/>
    </xf>
    <xf numFmtId="0" fontId="5" fillId="0" borderId="9" xfId="4" applyFont="1" applyBorder="1" applyAlignment="1">
      <alignment horizontal="justify" vertical="center" wrapText="1"/>
    </xf>
    <xf numFmtId="0" fontId="5" fillId="0" borderId="48" xfId="4" applyFont="1" applyBorder="1" applyAlignment="1">
      <alignment horizontal="justify" vertical="center" wrapText="1"/>
    </xf>
    <xf numFmtId="0" fontId="5" fillId="0" borderId="84" xfId="4" applyFont="1" applyBorder="1" applyAlignment="1">
      <alignment horizontal="justify" vertical="center" wrapText="1"/>
    </xf>
    <xf numFmtId="0" fontId="5" fillId="0" borderId="0" xfId="4" applyFont="1" applyBorder="1" applyAlignment="1">
      <alignment horizontal="center" vertical="center" wrapText="1"/>
    </xf>
    <xf numFmtId="166" fontId="5" fillId="5" borderId="29" xfId="4" applyNumberFormat="1" applyFont="1" applyFill="1" applyBorder="1" applyAlignment="1">
      <alignment horizontal="center" vertical="center"/>
    </xf>
    <xf numFmtId="166" fontId="5" fillId="0" borderId="29" xfId="4" applyNumberFormat="1" applyFont="1" applyBorder="1" applyAlignment="1">
      <alignment horizontal="center" vertical="center" wrapText="1"/>
    </xf>
    <xf numFmtId="9" fontId="5" fillId="0" borderId="37" xfId="4" applyNumberFormat="1" applyFont="1" applyBorder="1" applyAlignment="1">
      <alignment horizontal="center" vertical="center" wrapText="1"/>
    </xf>
    <xf numFmtId="166" fontId="5" fillId="5" borderId="37" xfId="4" applyNumberFormat="1" applyFont="1" applyFill="1" applyBorder="1" applyAlignment="1">
      <alignment horizontal="center" vertical="center" wrapText="1"/>
    </xf>
    <xf numFmtId="166" fontId="5" fillId="0" borderId="37" xfId="4" applyNumberFormat="1" applyFont="1" applyBorder="1" applyAlignment="1">
      <alignment horizontal="center" vertical="center" wrapText="1"/>
    </xf>
    <xf numFmtId="166" fontId="5" fillId="0" borderId="36" xfId="4" applyNumberFormat="1" applyFont="1" applyBorder="1" applyAlignment="1">
      <alignment horizontal="center" vertical="center" wrapText="1"/>
    </xf>
    <xf numFmtId="0" fontId="12" fillId="0" borderId="87" xfId="2" applyFont="1" applyBorder="1" applyAlignment="1">
      <alignment horizontal="left" vertical="center"/>
    </xf>
    <xf numFmtId="172" fontId="13" fillId="2" borderId="39" xfId="2" applyNumberFormat="1" applyFont="1" applyFill="1" applyBorder="1" applyAlignment="1">
      <alignment vertical="center"/>
    </xf>
    <xf numFmtId="0" fontId="13" fillId="0" borderId="0" xfId="2" applyFont="1" applyAlignment="1">
      <alignment vertical="center"/>
    </xf>
    <xf numFmtId="0" fontId="9" fillId="0" borderId="0" xfId="4" applyFont="1" applyAlignment="1">
      <alignment horizontal="left"/>
    </xf>
    <xf numFmtId="0" fontId="13" fillId="2" borderId="19" xfId="2" applyFont="1" applyFill="1" applyBorder="1" applyAlignment="1">
      <alignment horizontal="center" vertical="center"/>
    </xf>
    <xf numFmtId="172" fontId="13" fillId="2" borderId="40" xfId="10" applyNumberFormat="1" applyFont="1" applyFill="1" applyBorder="1" applyAlignment="1">
      <alignment vertical="center"/>
    </xf>
    <xf numFmtId="0" fontId="12" fillId="0" borderId="0" xfId="2" applyFont="1" applyAlignment="1">
      <alignment horizontal="left" vertical="center"/>
    </xf>
    <xf numFmtId="0" fontId="12" fillId="0" borderId="0" xfId="2" applyFont="1" applyAlignment="1">
      <alignment vertical="center"/>
    </xf>
    <xf numFmtId="172" fontId="12" fillId="0" borderId="90" xfId="2" applyNumberFormat="1" applyFont="1" applyBorder="1" applyAlignment="1">
      <alignment vertical="center"/>
    </xf>
    <xf numFmtId="0" fontId="12" fillId="0" borderId="77" xfId="2" applyFont="1" applyBorder="1" applyAlignment="1">
      <alignment horizontal="left" vertical="center"/>
    </xf>
    <xf numFmtId="172" fontId="12" fillId="0" borderId="94" xfId="2" applyNumberFormat="1" applyFont="1" applyBorder="1" applyAlignment="1">
      <alignment vertical="center"/>
    </xf>
    <xf numFmtId="0" fontId="12" fillId="0" borderId="95" xfId="2" applyFont="1" applyBorder="1" applyAlignment="1">
      <alignment horizontal="left" vertical="center"/>
    </xf>
    <xf numFmtId="172" fontId="12" fillId="0" borderId="98" xfId="2" applyNumberFormat="1" applyFont="1" applyBorder="1" applyAlignment="1">
      <alignment vertical="center"/>
    </xf>
    <xf numFmtId="0" fontId="12" fillId="0" borderId="88" xfId="2" applyFont="1" applyBorder="1" applyAlignment="1">
      <alignment horizontal="left" vertical="center"/>
    </xf>
    <xf numFmtId="0" fontId="12" fillId="0" borderId="92" xfId="2" applyFont="1" applyBorder="1" applyAlignment="1">
      <alignment horizontal="left" vertical="center"/>
    </xf>
    <xf numFmtId="0" fontId="12" fillId="0" borderId="96" xfId="2" applyFont="1" applyBorder="1" applyAlignment="1">
      <alignment horizontal="left" vertical="center"/>
    </xf>
    <xf numFmtId="165" fontId="27" fillId="0" borderId="28" xfId="18" applyNumberFormat="1" applyFont="1" applyBorder="1" applyAlignment="1">
      <alignment horizontal="justify" vertical="center" wrapText="1"/>
    </xf>
    <xf numFmtId="49" fontId="34" fillId="10" borderId="28" xfId="4" applyNumberFormat="1" applyFont="1" applyFill="1" applyBorder="1" applyAlignment="1">
      <alignment horizontal="justify" vertical="center" wrapText="1"/>
    </xf>
    <xf numFmtId="0" fontId="35" fillId="0" borderId="28" xfId="4" applyFont="1" applyBorder="1" applyAlignment="1">
      <alignment horizontal="justify" vertical="center" wrapText="1"/>
    </xf>
    <xf numFmtId="165" fontId="34" fillId="10" borderId="28" xfId="18" applyNumberFormat="1" applyFont="1" applyFill="1" applyBorder="1" applyAlignment="1">
      <alignment horizontal="justify" vertical="center" wrapText="1"/>
    </xf>
    <xf numFmtId="0" fontId="34" fillId="10" borderId="28" xfId="4" applyFont="1" applyFill="1" applyBorder="1" applyAlignment="1">
      <alignment horizontal="justify" vertical="center" wrapText="1"/>
    </xf>
    <xf numFmtId="0" fontId="33" fillId="0" borderId="26" xfId="2" applyFont="1" applyFill="1" applyBorder="1" applyAlignment="1">
      <alignment horizontal="justify" vertical="center" wrapText="1"/>
    </xf>
    <xf numFmtId="0" fontId="25" fillId="0" borderId="0" xfId="4" applyFont="1" applyAlignment="1">
      <alignment horizontal="justify" vertical="center"/>
    </xf>
    <xf numFmtId="0" fontId="35" fillId="0" borderId="32" xfId="4" applyFont="1" applyBorder="1" applyAlignment="1">
      <alignment horizontal="justify" vertical="center" wrapText="1"/>
    </xf>
    <xf numFmtId="165" fontId="27" fillId="0" borderId="32" xfId="18" applyNumberFormat="1" applyFont="1" applyBorder="1" applyAlignment="1">
      <alignment horizontal="justify" vertical="center" wrapText="1"/>
    </xf>
    <xf numFmtId="165" fontId="34" fillId="10" borderId="32" xfId="18" applyNumberFormat="1" applyFont="1" applyFill="1" applyBorder="1" applyAlignment="1">
      <alignment horizontal="justify" vertical="center" wrapText="1"/>
    </xf>
    <xf numFmtId="0" fontId="34" fillId="10" borderId="32" xfId="4" applyFont="1" applyFill="1" applyBorder="1" applyAlignment="1">
      <alignment horizontal="justify" vertical="center" wrapText="1"/>
    </xf>
    <xf numFmtId="0" fontId="33" fillId="0" borderId="30" xfId="2" applyFont="1" applyFill="1" applyBorder="1" applyAlignment="1">
      <alignment horizontal="justify" vertical="center" wrapText="1"/>
    </xf>
    <xf numFmtId="0" fontId="24" fillId="4" borderId="0" xfId="2" applyFont="1" applyFill="1" applyBorder="1" applyAlignment="1">
      <alignment horizontal="center" vertical="center"/>
    </xf>
    <xf numFmtId="0" fontId="24" fillId="4" borderId="45" xfId="2" applyFont="1" applyFill="1" applyBorder="1" applyAlignment="1">
      <alignment horizontal="center" vertical="center"/>
    </xf>
    <xf numFmtId="0" fontId="24" fillId="4" borderId="6" xfId="2" applyFont="1" applyFill="1" applyBorder="1" applyAlignment="1">
      <alignment horizontal="left" vertical="center"/>
    </xf>
    <xf numFmtId="0" fontId="24" fillId="7" borderId="8" xfId="2" applyFont="1" applyFill="1" applyBorder="1" applyAlignment="1">
      <alignment horizontal="center" vertical="center"/>
    </xf>
    <xf numFmtId="0" fontId="24" fillId="7" borderId="12" xfId="2" applyFont="1" applyFill="1" applyBorder="1" applyAlignment="1">
      <alignment horizontal="center" vertical="center"/>
    </xf>
    <xf numFmtId="15" fontId="24" fillId="7" borderId="12" xfId="2" applyNumberFormat="1" applyFont="1" applyFill="1" applyBorder="1" applyAlignment="1">
      <alignment horizontal="center" vertical="center"/>
    </xf>
    <xf numFmtId="0" fontId="34" fillId="10" borderId="23" xfId="4" applyFont="1" applyFill="1" applyBorder="1" applyAlignment="1">
      <alignment horizontal="justify" vertical="center" wrapText="1"/>
    </xf>
    <xf numFmtId="0" fontId="34" fillId="10" borderId="34" xfId="4" applyFont="1" applyFill="1" applyBorder="1" applyAlignment="1">
      <alignment horizontal="justify" vertical="center" wrapText="1"/>
    </xf>
    <xf numFmtId="0" fontId="24" fillId="2" borderId="40" xfId="2" applyFont="1" applyFill="1" applyBorder="1" applyAlignment="1">
      <alignment vertical="center"/>
    </xf>
    <xf numFmtId="0" fontId="25" fillId="0" borderId="0" xfId="2" applyFont="1" applyFill="1" applyBorder="1" applyAlignment="1">
      <alignment horizontal="left" vertical="center"/>
    </xf>
    <xf numFmtId="0" fontId="34" fillId="10" borderId="0" xfId="4" applyFont="1" applyFill="1" applyBorder="1" applyAlignment="1">
      <alignment horizontal="justify" vertical="center" wrapText="1"/>
    </xf>
    <xf numFmtId="49" fontId="34" fillId="10" borderId="0" xfId="4" applyNumberFormat="1" applyFont="1" applyFill="1" applyBorder="1" applyAlignment="1">
      <alignment horizontal="justify" vertical="center" wrapText="1"/>
    </xf>
    <xf numFmtId="165" fontId="27" fillId="0" borderId="0" xfId="18" applyNumberFormat="1" applyFont="1" applyBorder="1" applyAlignment="1">
      <alignment horizontal="justify" vertical="center" wrapText="1"/>
    </xf>
    <xf numFmtId="0" fontId="33" fillId="0" borderId="0" xfId="2" applyFont="1" applyFill="1" applyBorder="1" applyAlignment="1">
      <alignment horizontal="justify" vertical="center" wrapText="1"/>
    </xf>
    <xf numFmtId="165" fontId="34" fillId="10" borderId="0" xfId="18" applyNumberFormat="1" applyFont="1" applyFill="1" applyBorder="1" applyAlignment="1">
      <alignment horizontal="justify" vertical="center" wrapText="1"/>
    </xf>
    <xf numFmtId="0" fontId="35" fillId="0" borderId="0" xfId="4" applyFont="1" applyBorder="1" applyAlignment="1">
      <alignment horizontal="justify" vertical="center" wrapText="1"/>
    </xf>
    <xf numFmtId="0" fontId="21" fillId="10" borderId="0" xfId="4" applyFont="1" applyFill="1" applyBorder="1" applyAlignment="1">
      <alignment horizontal="justify" vertical="center" wrapText="1"/>
    </xf>
    <xf numFmtId="0" fontId="5" fillId="0" borderId="3" xfId="2" applyFont="1" applyFill="1" applyBorder="1" applyAlignment="1">
      <alignment horizontal="justify" vertical="center" wrapText="1"/>
    </xf>
    <xf numFmtId="49" fontId="21" fillId="10" borderId="0" xfId="4" applyNumberFormat="1" applyFont="1" applyFill="1" applyBorder="1" applyAlignment="1">
      <alignment horizontal="justify" vertical="center" wrapText="1"/>
    </xf>
    <xf numFmtId="165" fontId="21" fillId="10" borderId="0" xfId="18" applyNumberFormat="1" applyFont="1" applyFill="1" applyBorder="1" applyAlignment="1">
      <alignment horizontal="justify" vertical="center" wrapText="1"/>
    </xf>
    <xf numFmtId="0" fontId="25" fillId="0" borderId="0" xfId="0" applyFont="1" applyBorder="1"/>
    <xf numFmtId="0" fontId="24" fillId="4" borderId="16" xfId="2" applyFont="1" applyFill="1" applyBorder="1" applyAlignment="1">
      <alignment horizontal="center" vertical="center"/>
    </xf>
    <xf numFmtId="0" fontId="28" fillId="0" borderId="52" xfId="4" applyFont="1" applyBorder="1"/>
    <xf numFmtId="0" fontId="5" fillId="0" borderId="73" xfId="2" applyFont="1" applyFill="1" applyBorder="1" applyAlignment="1">
      <alignment horizontal="justify" vertical="center" wrapText="1"/>
    </xf>
    <xf numFmtId="0" fontId="21" fillId="10" borderId="73" xfId="4" applyFont="1" applyFill="1" applyBorder="1" applyAlignment="1">
      <alignment horizontal="justify" vertical="center" wrapText="1"/>
    </xf>
    <xf numFmtId="49" fontId="21" fillId="10" borderId="73" xfId="4" applyNumberFormat="1" applyFont="1" applyFill="1" applyBorder="1" applyAlignment="1">
      <alignment horizontal="justify" vertical="center" wrapText="1"/>
    </xf>
    <xf numFmtId="165" fontId="21" fillId="10" borderId="73" xfId="18" applyNumberFormat="1" applyFont="1" applyFill="1" applyBorder="1" applyAlignment="1">
      <alignment horizontal="justify" vertical="center" wrapText="1"/>
    </xf>
    <xf numFmtId="0" fontId="4" fillId="0" borderId="0" xfId="4"/>
    <xf numFmtId="0" fontId="9" fillId="0" borderId="0" xfId="4" applyFont="1" applyFill="1" applyAlignment="1">
      <alignment horizontal="left"/>
    </xf>
    <xf numFmtId="0" fontId="13" fillId="0" borderId="0" xfId="4" applyFont="1"/>
    <xf numFmtId="49" fontId="16" fillId="0" borderId="0" xfId="1" quotePrefix="1" applyNumberFormat="1" applyFont="1" applyFill="1" applyAlignment="1">
      <alignment horizontal="left" vertical="center"/>
    </xf>
    <xf numFmtId="15" fontId="13" fillId="7" borderId="12" xfId="2" applyNumberFormat="1" applyFont="1" applyFill="1" applyBorder="1" applyAlignment="1">
      <alignment horizontal="center" vertical="center"/>
    </xf>
    <xf numFmtId="0" fontId="13" fillId="7" borderId="12" xfId="2" applyFont="1" applyFill="1" applyBorder="1" applyAlignment="1">
      <alignment horizontal="center" vertical="center"/>
    </xf>
    <xf numFmtId="0" fontId="13" fillId="0" borderId="0" xfId="2" applyFont="1" applyFill="1" applyBorder="1" applyAlignment="1">
      <alignment horizontal="center" vertical="center"/>
    </xf>
    <xf numFmtId="0" fontId="13" fillId="0" borderId="0" xfId="2" applyFont="1" applyFill="1" applyBorder="1" applyAlignment="1">
      <alignment vertical="center"/>
    </xf>
    <xf numFmtId="49" fontId="12" fillId="0" borderId="0" xfId="1" applyNumberFormat="1" applyFont="1" applyFill="1" applyAlignment="1">
      <alignment horizontal="left" vertical="center"/>
    </xf>
    <xf numFmtId="0" fontId="12" fillId="0" borderId="0" xfId="2" applyFont="1" applyFill="1" applyBorder="1" applyAlignment="1">
      <alignment horizontal="left" vertical="center"/>
    </xf>
    <xf numFmtId="0" fontId="13" fillId="7" borderId="65" xfId="2" applyFont="1" applyFill="1" applyBorder="1" applyAlignment="1">
      <alignment horizontal="center" vertical="center"/>
    </xf>
    <xf numFmtId="0" fontId="13" fillId="7" borderId="14" xfId="2" applyFont="1" applyFill="1" applyBorder="1" applyAlignment="1">
      <alignment horizontal="center" vertical="center"/>
    </xf>
    <xf numFmtId="0" fontId="4" fillId="0" borderId="0" xfId="4"/>
    <xf numFmtId="0" fontId="13" fillId="0" borderId="0" xfId="2" applyFont="1" applyFill="1" applyAlignment="1">
      <alignment vertical="center"/>
    </xf>
    <xf numFmtId="0" fontId="13" fillId="0" borderId="0" xfId="4" applyFont="1"/>
    <xf numFmtId="49" fontId="16" fillId="0" borderId="0" xfId="1" quotePrefix="1" applyNumberFormat="1" applyFont="1" applyFill="1" applyAlignment="1">
      <alignment horizontal="left" vertical="center"/>
    </xf>
    <xf numFmtId="15" fontId="13" fillId="7" borderId="12" xfId="2" applyNumberFormat="1" applyFont="1" applyFill="1" applyBorder="1" applyAlignment="1">
      <alignment horizontal="center" vertical="center"/>
    </xf>
    <xf numFmtId="0" fontId="13" fillId="7" borderId="12" xfId="2" applyFont="1" applyFill="1" applyBorder="1" applyAlignment="1">
      <alignment horizontal="center" vertical="center"/>
    </xf>
    <xf numFmtId="0" fontId="13" fillId="0" borderId="0" xfId="2" applyFont="1" applyFill="1" applyBorder="1" applyAlignment="1">
      <alignment horizontal="center" vertical="center"/>
    </xf>
    <xf numFmtId="0" fontId="13" fillId="0" borderId="0" xfId="2" applyFont="1" applyFill="1" applyBorder="1" applyAlignment="1">
      <alignment vertical="center"/>
    </xf>
    <xf numFmtId="49" fontId="12" fillId="0" borderId="0" xfId="1" applyNumberFormat="1" applyFont="1" applyFill="1" applyAlignment="1">
      <alignment horizontal="left" vertical="center"/>
    </xf>
    <xf numFmtId="0" fontId="12" fillId="0" borderId="0" xfId="2" applyFont="1" applyFill="1" applyBorder="1" applyAlignment="1">
      <alignment horizontal="left" vertical="center"/>
    </xf>
    <xf numFmtId="0" fontId="9" fillId="0" borderId="0" xfId="2" applyFont="1" applyFill="1" applyAlignment="1">
      <alignment vertical="center"/>
    </xf>
    <xf numFmtId="15" fontId="9" fillId="7" borderId="12" xfId="2" applyNumberFormat="1" applyFont="1" applyFill="1" applyBorder="1" applyAlignment="1">
      <alignment horizontal="center" vertical="center" wrapText="1"/>
    </xf>
    <xf numFmtId="0" fontId="13" fillId="7" borderId="11" xfId="2" applyFont="1" applyFill="1" applyBorder="1" applyAlignment="1">
      <alignment horizontal="center" vertical="center"/>
    </xf>
    <xf numFmtId="0" fontId="9" fillId="7" borderId="11" xfId="2" applyFont="1" applyFill="1" applyBorder="1" applyAlignment="1">
      <alignment horizontal="center" vertical="center"/>
    </xf>
    <xf numFmtId="0" fontId="32" fillId="0" borderId="73" xfId="4" applyFont="1" applyBorder="1" applyAlignment="1">
      <alignment horizontal="justify" vertical="center" wrapText="1"/>
    </xf>
    <xf numFmtId="0" fontId="5" fillId="0" borderId="0" xfId="2" applyFont="1" applyFill="1" applyBorder="1" applyAlignment="1">
      <alignment horizontal="justify" vertical="center" wrapText="1"/>
    </xf>
    <xf numFmtId="165" fontId="9" fillId="0" borderId="0" xfId="18" applyNumberFormat="1" applyFont="1" applyBorder="1" applyAlignment="1">
      <alignment horizontal="justify" vertical="center" wrapText="1"/>
    </xf>
    <xf numFmtId="0" fontId="32" fillId="0" borderId="0" xfId="4" applyFont="1" applyBorder="1" applyAlignment="1">
      <alignment horizontal="justify" vertical="center" wrapText="1"/>
    </xf>
    <xf numFmtId="0" fontId="13" fillId="0" borderId="80" xfId="2" applyFont="1" applyFill="1" applyBorder="1" applyAlignment="1">
      <alignment vertical="center"/>
    </xf>
    <xf numFmtId="0" fontId="34" fillId="10" borderId="80" xfId="4" applyFont="1" applyFill="1" applyBorder="1" applyAlignment="1">
      <alignment horizontal="justify" vertical="center" wrapText="1"/>
    </xf>
    <xf numFmtId="49" fontId="34" fillId="10" borderId="80" xfId="4" applyNumberFormat="1" applyFont="1" applyFill="1" applyBorder="1" applyAlignment="1">
      <alignment horizontal="justify" vertical="center" wrapText="1"/>
    </xf>
    <xf numFmtId="165" fontId="34" fillId="10" borderId="80" xfId="18" applyNumberFormat="1" applyFont="1" applyFill="1" applyBorder="1" applyAlignment="1">
      <alignment horizontal="justify" vertical="center" wrapText="1"/>
    </xf>
    <xf numFmtId="165" fontId="27" fillId="0" borderId="80" xfId="18" applyNumberFormat="1" applyFont="1" applyBorder="1" applyAlignment="1">
      <alignment horizontal="justify" vertical="center" wrapText="1"/>
    </xf>
    <xf numFmtId="0" fontId="35" fillId="0" borderId="80" xfId="4" applyFont="1" applyBorder="1" applyAlignment="1">
      <alignment horizontal="justify" vertical="center" wrapText="1"/>
    </xf>
    <xf numFmtId="0" fontId="21" fillId="10" borderId="80" xfId="4" applyFont="1" applyFill="1" applyBorder="1" applyAlignment="1">
      <alignment horizontal="justify" vertical="center" wrapText="1"/>
    </xf>
    <xf numFmtId="49" fontId="21" fillId="10" borderId="80" xfId="4" applyNumberFormat="1" applyFont="1" applyFill="1" applyBorder="1" applyAlignment="1">
      <alignment horizontal="justify" vertical="center" wrapText="1"/>
    </xf>
    <xf numFmtId="165" fontId="21" fillId="10" borderId="80" xfId="18" applyNumberFormat="1" applyFont="1" applyFill="1" applyBorder="1" applyAlignment="1">
      <alignment horizontal="justify" vertical="center" wrapText="1"/>
    </xf>
    <xf numFmtId="165" fontId="9" fillId="0" borderId="80" xfId="18" applyNumberFormat="1" applyFont="1" applyBorder="1" applyAlignment="1">
      <alignment horizontal="justify" vertical="center" wrapText="1"/>
    </xf>
    <xf numFmtId="0" fontId="32" fillId="0" borderId="80" xfId="4" applyFont="1" applyBorder="1" applyAlignment="1">
      <alignment horizontal="justify" vertical="center" wrapText="1"/>
    </xf>
    <xf numFmtId="165" fontId="36" fillId="10" borderId="0" xfId="18" applyNumberFormat="1" applyFont="1" applyFill="1" applyBorder="1" applyAlignment="1">
      <alignment horizontal="justify" vertical="center" wrapText="1"/>
    </xf>
    <xf numFmtId="0" fontId="27" fillId="4" borderId="60" xfId="2" applyFont="1" applyFill="1" applyBorder="1" applyAlignment="1">
      <alignment horizontal="justify" vertical="center"/>
    </xf>
    <xf numFmtId="49" fontId="34" fillId="4" borderId="64" xfId="4" applyNumberFormat="1" applyFont="1" applyFill="1" applyBorder="1" applyAlignment="1">
      <alignment horizontal="justify" vertical="center" wrapText="1"/>
    </xf>
    <xf numFmtId="0" fontId="34" fillId="4" borderId="64" xfId="4" applyFont="1" applyFill="1" applyBorder="1" applyAlignment="1">
      <alignment horizontal="justify" vertical="center" wrapText="1"/>
    </xf>
    <xf numFmtId="165" fontId="34" fillId="4" borderId="63" xfId="18" applyNumberFormat="1" applyFont="1" applyFill="1" applyBorder="1" applyAlignment="1">
      <alignment horizontal="justify" vertical="center" wrapText="1"/>
    </xf>
    <xf numFmtId="165" fontId="34" fillId="4" borderId="64" xfId="18" applyNumberFormat="1" applyFont="1" applyFill="1" applyBorder="1" applyAlignment="1">
      <alignment horizontal="justify" vertical="center" wrapText="1"/>
    </xf>
    <xf numFmtId="165" fontId="34" fillId="4" borderId="32" xfId="18" applyNumberFormat="1" applyFont="1" applyFill="1" applyBorder="1" applyAlignment="1">
      <alignment horizontal="justify" vertical="center" wrapText="1"/>
    </xf>
    <xf numFmtId="0" fontId="35" fillId="4" borderId="33" xfId="4" applyFont="1" applyFill="1" applyBorder="1" applyAlignment="1">
      <alignment horizontal="justify" vertical="center" wrapText="1"/>
    </xf>
    <xf numFmtId="49" fontId="35" fillId="0" borderId="23" xfId="4" applyNumberFormat="1" applyFont="1" applyBorder="1" applyAlignment="1">
      <alignment horizontal="justify" vertical="center" wrapText="1"/>
    </xf>
    <xf numFmtId="165" fontId="35" fillId="0" borderId="23" xfId="18" applyNumberFormat="1" applyFont="1" applyBorder="1" applyAlignment="1">
      <alignment horizontal="justify" vertical="center" wrapText="1"/>
    </xf>
    <xf numFmtId="165" fontId="33" fillId="0" borderId="23" xfId="18" applyNumberFormat="1" applyFont="1" applyFill="1" applyBorder="1" applyAlignment="1">
      <alignment horizontal="justify" vertical="center"/>
    </xf>
    <xf numFmtId="0" fontId="33" fillId="0" borderId="23" xfId="2" applyFont="1" applyFill="1" applyBorder="1" applyAlignment="1">
      <alignment horizontal="justify" vertical="center"/>
    </xf>
    <xf numFmtId="49" fontId="35" fillId="0" borderId="28" xfId="4" applyNumberFormat="1" applyFont="1" applyBorder="1" applyAlignment="1">
      <alignment horizontal="justify" vertical="center" wrapText="1"/>
    </xf>
    <xf numFmtId="165" fontId="35" fillId="0" borderId="28" xfId="18" applyNumberFormat="1" applyFont="1" applyBorder="1" applyAlignment="1">
      <alignment horizontal="justify" vertical="center" wrapText="1"/>
    </xf>
    <xf numFmtId="165" fontId="33" fillId="0" borderId="28" xfId="18" applyNumberFormat="1" applyFont="1" applyFill="1" applyBorder="1" applyAlignment="1">
      <alignment horizontal="justify" vertical="center"/>
    </xf>
    <xf numFmtId="0" fontId="33" fillId="0" borderId="28" xfId="2" applyFont="1" applyFill="1" applyBorder="1" applyAlignment="1">
      <alignment horizontal="justify" vertical="center"/>
    </xf>
    <xf numFmtId="0" fontId="27" fillId="0" borderId="28" xfId="2" applyFont="1" applyFill="1" applyBorder="1" applyAlignment="1">
      <alignment horizontal="justify" vertical="center"/>
    </xf>
    <xf numFmtId="49" fontId="35" fillId="0" borderId="34" xfId="4" applyNumberFormat="1" applyFont="1" applyBorder="1" applyAlignment="1">
      <alignment horizontal="justify" vertical="center" wrapText="1"/>
    </xf>
    <xf numFmtId="0" fontId="27" fillId="0" borderId="34" xfId="2" applyFont="1" applyFill="1" applyBorder="1" applyAlignment="1">
      <alignment horizontal="justify" vertical="center"/>
    </xf>
    <xf numFmtId="165" fontId="33" fillId="0" borderId="34" xfId="18" applyNumberFormat="1" applyFont="1" applyFill="1" applyBorder="1" applyAlignment="1">
      <alignment horizontal="justify" vertical="center"/>
    </xf>
    <xf numFmtId="165" fontId="35" fillId="0" borderId="34" xfId="18" applyNumberFormat="1" applyFont="1" applyBorder="1" applyAlignment="1">
      <alignment horizontal="justify" vertical="center" wrapText="1"/>
    </xf>
    <xf numFmtId="0" fontId="33" fillId="0" borderId="34" xfId="2" applyFont="1" applyFill="1" applyBorder="1" applyAlignment="1">
      <alignment horizontal="justify" vertical="center"/>
    </xf>
    <xf numFmtId="49" fontId="35" fillId="0" borderId="0" xfId="4" applyNumberFormat="1" applyFont="1" applyBorder="1" applyAlignment="1">
      <alignment horizontal="justify" vertical="center" wrapText="1"/>
    </xf>
    <xf numFmtId="0" fontId="27" fillId="0" borderId="0" xfId="2" applyFont="1" applyFill="1" applyBorder="1" applyAlignment="1">
      <alignment horizontal="justify" vertical="center"/>
    </xf>
    <xf numFmtId="165" fontId="33" fillId="0" borderId="13" xfId="18" applyNumberFormat="1" applyFont="1" applyFill="1" applyBorder="1" applyAlignment="1">
      <alignment horizontal="justify" vertical="center"/>
    </xf>
    <xf numFmtId="0" fontId="33" fillId="0" borderId="52" xfId="2" applyFont="1" applyFill="1" applyBorder="1" applyAlignment="1">
      <alignment horizontal="justify" vertical="center"/>
    </xf>
    <xf numFmtId="165" fontId="24" fillId="2" borderId="39" xfId="2" applyNumberFormat="1" applyFont="1" applyFill="1" applyBorder="1" applyAlignment="1">
      <alignment vertical="center"/>
    </xf>
    <xf numFmtId="49" fontId="39" fillId="10" borderId="0" xfId="4" applyNumberFormat="1" applyFont="1" applyFill="1" applyBorder="1" applyAlignment="1">
      <alignment horizontal="justify" vertical="center" wrapText="1"/>
    </xf>
    <xf numFmtId="0" fontId="39" fillId="10" borderId="0" xfId="4" applyFont="1" applyFill="1" applyBorder="1" applyAlignment="1">
      <alignment horizontal="justify" vertical="center" wrapText="1"/>
    </xf>
    <xf numFmtId="165" fontId="39" fillId="10" borderId="0" xfId="18" applyNumberFormat="1" applyFont="1" applyFill="1" applyBorder="1" applyAlignment="1">
      <alignment horizontal="justify" vertical="center" wrapText="1"/>
    </xf>
    <xf numFmtId="0" fontId="39" fillId="0" borderId="0" xfId="4" applyFont="1" applyBorder="1" applyAlignment="1">
      <alignment horizontal="justify" vertical="center" wrapText="1"/>
    </xf>
    <xf numFmtId="0" fontId="40" fillId="0" borderId="0" xfId="0" applyFont="1"/>
    <xf numFmtId="0" fontId="41" fillId="0" borderId="73" xfId="2" applyFont="1" applyFill="1" applyBorder="1" applyAlignment="1">
      <alignment horizontal="justify" vertical="center" wrapText="1"/>
    </xf>
    <xf numFmtId="0" fontId="41" fillId="10" borderId="73" xfId="4" applyFont="1" applyFill="1" applyBorder="1" applyAlignment="1">
      <alignment horizontal="justify" vertical="center" wrapText="1"/>
    </xf>
    <xf numFmtId="49" fontId="41" fillId="10" borderId="73" xfId="4" applyNumberFormat="1" applyFont="1" applyFill="1" applyBorder="1" applyAlignment="1">
      <alignment horizontal="justify" vertical="center" wrapText="1"/>
    </xf>
    <xf numFmtId="165" fontId="42" fillId="10" borderId="73" xfId="18" applyNumberFormat="1" applyFont="1" applyFill="1" applyBorder="1" applyAlignment="1">
      <alignment horizontal="justify" vertical="center" wrapText="1"/>
    </xf>
    <xf numFmtId="0" fontId="41" fillId="0" borderId="73" xfId="4" applyFont="1" applyBorder="1" applyAlignment="1">
      <alignment horizontal="justify" vertical="center" wrapText="1"/>
    </xf>
    <xf numFmtId="165" fontId="43" fillId="0" borderId="0" xfId="0" applyNumberFormat="1" applyFont="1"/>
    <xf numFmtId="0" fontId="44" fillId="0" borderId="0" xfId="2" applyFont="1" applyFill="1" applyBorder="1" applyAlignment="1">
      <alignment horizontal="justify" vertical="center" wrapText="1"/>
    </xf>
    <xf numFmtId="0" fontId="44" fillId="10" borderId="0" xfId="4" applyFont="1" applyFill="1" applyBorder="1" applyAlignment="1">
      <alignment horizontal="justify" vertical="center" wrapText="1"/>
    </xf>
    <xf numFmtId="49" fontId="44" fillId="10" borderId="0" xfId="4" applyNumberFormat="1" applyFont="1" applyFill="1" applyBorder="1" applyAlignment="1">
      <alignment horizontal="justify" vertical="center" wrapText="1"/>
    </xf>
    <xf numFmtId="0" fontId="44" fillId="0" borderId="0" xfId="4" applyFont="1" applyBorder="1" applyAlignment="1">
      <alignment horizontal="justify" vertical="center" wrapText="1"/>
    </xf>
    <xf numFmtId="0" fontId="43" fillId="0" borderId="0" xfId="0" applyFont="1"/>
    <xf numFmtId="0" fontId="42" fillId="0" borderId="0" xfId="2" applyFont="1" applyFill="1" applyBorder="1" applyAlignment="1">
      <alignment horizontal="justify" vertical="center" wrapText="1"/>
    </xf>
    <xf numFmtId="0" fontId="42" fillId="10" borderId="0" xfId="4" applyFont="1" applyFill="1" applyBorder="1" applyAlignment="1">
      <alignment horizontal="justify" vertical="center" wrapText="1"/>
    </xf>
    <xf numFmtId="49" fontId="42" fillId="10" borderId="0" xfId="4" applyNumberFormat="1" applyFont="1" applyFill="1" applyBorder="1" applyAlignment="1">
      <alignment horizontal="justify" vertical="center" wrapText="1"/>
    </xf>
    <xf numFmtId="165" fontId="42" fillId="10" borderId="0" xfId="18" applyNumberFormat="1" applyFont="1" applyFill="1" applyBorder="1" applyAlignment="1">
      <alignment horizontal="justify" vertical="center" wrapText="1"/>
    </xf>
    <xf numFmtId="0" fontId="42" fillId="0" borderId="0" xfId="4" applyFont="1" applyBorder="1" applyAlignment="1">
      <alignment horizontal="justify" vertical="center" wrapText="1"/>
    </xf>
    <xf numFmtId="0" fontId="45" fillId="0" borderId="26" xfId="4" applyFont="1" applyBorder="1" applyAlignment="1">
      <alignment horizontal="center" vertical="center" wrapText="1"/>
    </xf>
    <xf numFmtId="0" fontId="33" fillId="0" borderId="28" xfId="2" applyFont="1" applyFill="1" applyBorder="1" applyAlignment="1">
      <alignment horizontal="center" vertical="center" wrapText="1"/>
    </xf>
    <xf numFmtId="0" fontId="33" fillId="0" borderId="28" xfId="2" applyFont="1" applyFill="1" applyBorder="1" applyAlignment="1">
      <alignment horizontal="center" vertical="center"/>
    </xf>
    <xf numFmtId="165" fontId="33" fillId="0" borderId="28" xfId="18" applyNumberFormat="1" applyFont="1" applyFill="1" applyBorder="1" applyAlignment="1">
      <alignment horizontal="center" vertical="center"/>
    </xf>
    <xf numFmtId="0" fontId="28" fillId="0" borderId="29" xfId="4" applyFont="1" applyBorder="1" applyAlignment="1">
      <alignment horizontal="center" vertical="center" wrapText="1"/>
    </xf>
    <xf numFmtId="0" fontId="45" fillId="0" borderId="35" xfId="4" applyFont="1" applyBorder="1" applyAlignment="1">
      <alignment horizontal="center" vertical="center" wrapText="1"/>
    </xf>
    <xf numFmtId="0" fontId="33" fillId="0" borderId="37" xfId="2" applyFont="1" applyFill="1" applyBorder="1" applyAlignment="1">
      <alignment horizontal="center" vertical="center" wrapText="1"/>
    </xf>
    <xf numFmtId="165" fontId="33" fillId="0" borderId="37" xfId="18" applyNumberFormat="1" applyFont="1" applyFill="1" applyBorder="1" applyAlignment="1">
      <alignment horizontal="center" vertical="center"/>
    </xf>
    <xf numFmtId="0" fontId="33" fillId="0" borderId="37" xfId="2" applyFont="1" applyFill="1" applyBorder="1" applyAlignment="1">
      <alignment horizontal="center" vertical="center"/>
    </xf>
    <xf numFmtId="0" fontId="28" fillId="0" borderId="36" xfId="4" applyFont="1" applyBorder="1" applyAlignment="1">
      <alignment horizontal="center" vertical="center" wrapText="1"/>
    </xf>
    <xf numFmtId="165" fontId="24" fillId="2" borderId="5" xfId="18" applyNumberFormat="1" applyFont="1" applyFill="1" applyBorder="1" applyAlignment="1">
      <alignment vertical="center"/>
    </xf>
    <xf numFmtId="0" fontId="25" fillId="0" borderId="30" xfId="2" applyFont="1" applyFill="1" applyBorder="1" applyAlignment="1">
      <alignment horizontal="left" vertical="center"/>
    </xf>
    <xf numFmtId="0" fontId="25" fillId="0" borderId="32" xfId="2" applyFont="1" applyFill="1" applyBorder="1" applyAlignment="1">
      <alignment horizontal="left" vertical="center" wrapText="1"/>
    </xf>
    <xf numFmtId="0" fontId="25" fillId="0" borderId="32" xfId="2" applyFont="1" applyFill="1" applyBorder="1" applyAlignment="1">
      <alignment horizontal="left" vertical="center"/>
    </xf>
    <xf numFmtId="3" fontId="25" fillId="0" borderId="32" xfId="2" applyNumberFormat="1" applyFont="1" applyFill="1" applyBorder="1" applyAlignment="1">
      <alignment vertical="center"/>
    </xf>
    <xf numFmtId="0" fontId="25" fillId="0" borderId="32" xfId="2" applyFont="1" applyFill="1" applyBorder="1" applyAlignment="1">
      <alignment vertical="center"/>
    </xf>
    <xf numFmtId="0" fontId="25" fillId="0" borderId="31" xfId="2" applyFont="1" applyFill="1" applyBorder="1" applyAlignment="1">
      <alignment horizontal="center" vertical="center"/>
    </xf>
    <xf numFmtId="0" fontId="25" fillId="0" borderId="26" xfId="2" applyFont="1" applyFill="1" applyBorder="1" applyAlignment="1">
      <alignment horizontal="left" vertical="center"/>
    </xf>
    <xf numFmtId="0" fontId="25" fillId="0" borderId="28" xfId="2" applyFont="1" applyFill="1" applyBorder="1" applyAlignment="1">
      <alignment horizontal="left" vertical="center" wrapText="1"/>
    </xf>
    <xf numFmtId="0" fontId="25" fillId="0" borderId="28" xfId="2" applyFont="1" applyFill="1" applyBorder="1" applyAlignment="1">
      <alignment horizontal="left" vertical="center"/>
    </xf>
    <xf numFmtId="3" fontId="25" fillId="0" borderId="28" xfId="2" applyNumberFormat="1" applyFont="1" applyFill="1" applyBorder="1" applyAlignment="1">
      <alignment vertical="center"/>
    </xf>
    <xf numFmtId="0" fontId="25" fillId="0" borderId="28" xfId="2" applyFont="1" applyFill="1" applyBorder="1" applyAlignment="1">
      <alignment vertical="center"/>
    </xf>
    <xf numFmtId="0" fontId="25" fillId="0" borderId="28" xfId="2" applyFont="1" applyFill="1" applyBorder="1" applyAlignment="1">
      <alignment vertical="center" wrapText="1"/>
    </xf>
    <xf numFmtId="0" fontId="25" fillId="0" borderId="29" xfId="2" applyFont="1" applyFill="1" applyBorder="1" applyAlignment="1">
      <alignment horizontal="center" vertical="center"/>
    </xf>
    <xf numFmtId="0" fontId="25" fillId="0" borderId="28" xfId="2" applyFont="1" applyFill="1" applyBorder="1" applyAlignment="1">
      <alignment horizontal="justify" vertical="justify" wrapText="1"/>
    </xf>
    <xf numFmtId="0" fontId="25" fillId="0" borderId="35" xfId="2" applyFont="1" applyFill="1" applyBorder="1" applyAlignment="1">
      <alignment horizontal="justify" vertical="justify" wrapText="1"/>
    </xf>
    <xf numFmtId="0" fontId="25" fillId="0" borderId="37" xfId="2" applyFont="1" applyFill="1" applyBorder="1" applyAlignment="1">
      <alignment horizontal="left" vertical="center" wrapText="1"/>
    </xf>
    <xf numFmtId="0" fontId="25" fillId="0" borderId="37" xfId="2" applyFont="1" applyFill="1" applyBorder="1" applyAlignment="1">
      <alignment horizontal="center" vertical="center"/>
    </xf>
    <xf numFmtId="3" fontId="25" fillId="0" borderId="37" xfId="2" applyNumberFormat="1" applyFont="1" applyFill="1" applyBorder="1" applyAlignment="1">
      <alignment vertical="center"/>
    </xf>
    <xf numFmtId="0" fontId="25" fillId="0" borderId="37" xfId="2" applyFont="1" applyFill="1" applyBorder="1" applyAlignment="1">
      <alignment vertical="center"/>
    </xf>
    <xf numFmtId="0" fontId="25" fillId="0" borderId="37" xfId="2" applyFont="1" applyFill="1" applyBorder="1" applyAlignment="1">
      <alignment horizontal="justify" vertical="justify" wrapText="1"/>
    </xf>
    <xf numFmtId="0" fontId="25" fillId="0" borderId="36" xfId="2" applyFont="1" applyFill="1" applyBorder="1" applyAlignment="1">
      <alignment horizontal="center" vertical="center"/>
    </xf>
    <xf numFmtId="3" fontId="24" fillId="2" borderId="5" xfId="2" applyNumberFormat="1" applyFont="1" applyFill="1" applyBorder="1" applyAlignment="1">
      <alignment vertical="center"/>
    </xf>
    <xf numFmtId="43" fontId="24" fillId="2" borderId="5" xfId="18" applyFont="1" applyFill="1" applyBorder="1" applyAlignment="1">
      <alignment vertical="center"/>
    </xf>
    <xf numFmtId="0" fontId="39" fillId="0" borderId="0" xfId="2" applyFont="1" applyFill="1" applyBorder="1" applyAlignment="1">
      <alignment horizontal="justify" vertical="center" wrapText="1"/>
    </xf>
    <xf numFmtId="0" fontId="34" fillId="4" borderId="31" xfId="4" applyFont="1" applyFill="1" applyBorder="1" applyAlignment="1">
      <alignment horizontal="justify" vertical="center" wrapText="1"/>
    </xf>
    <xf numFmtId="49" fontId="35" fillId="0" borderId="22" xfId="4" applyNumberFormat="1" applyFont="1" applyBorder="1" applyAlignment="1">
      <alignment horizontal="justify" vertical="center" wrapText="1"/>
    </xf>
    <xf numFmtId="0" fontId="33" fillId="0" borderId="25" xfId="2" applyFont="1" applyFill="1" applyBorder="1" applyAlignment="1">
      <alignment horizontal="justify" vertical="center"/>
    </xf>
    <xf numFmtId="49" fontId="35" fillId="0" borderId="26" xfId="4" applyNumberFormat="1" applyFont="1" applyBorder="1" applyAlignment="1">
      <alignment horizontal="justify" vertical="center" wrapText="1"/>
    </xf>
    <xf numFmtId="49" fontId="35" fillId="0" borderId="85" xfId="4" applyNumberFormat="1" applyFont="1" applyBorder="1" applyAlignment="1">
      <alignment horizontal="justify" vertical="center" wrapText="1"/>
    </xf>
    <xf numFmtId="0" fontId="33" fillId="0" borderId="53" xfId="2" applyFont="1" applyFill="1" applyBorder="1" applyAlignment="1">
      <alignment horizontal="justify" vertical="center"/>
    </xf>
    <xf numFmtId="49" fontId="35" fillId="0" borderId="3" xfId="4" applyNumberFormat="1" applyFont="1" applyBorder="1" applyAlignment="1">
      <alignment horizontal="justify" vertical="center" wrapText="1"/>
    </xf>
    <xf numFmtId="0" fontId="4" fillId="0" borderId="0" xfId="4"/>
    <xf numFmtId="0" fontId="13" fillId="0" borderId="0" xfId="4" applyFont="1" applyFill="1"/>
    <xf numFmtId="49" fontId="11" fillId="0" borderId="0" xfId="3" applyFont="1" applyFill="1" applyBorder="1" applyAlignment="1">
      <alignment vertical="center"/>
    </xf>
    <xf numFmtId="49" fontId="11" fillId="0" borderId="0" xfId="3" applyFont="1" applyFill="1" applyAlignment="1">
      <alignment vertical="center"/>
    </xf>
    <xf numFmtId="0" fontId="11" fillId="0" borderId="0" xfId="4" applyFont="1" applyFill="1"/>
    <xf numFmtId="0" fontId="11" fillId="0" borderId="0" xfId="2" applyFont="1" applyFill="1" applyAlignment="1">
      <alignment vertical="center"/>
    </xf>
    <xf numFmtId="0" fontId="13" fillId="0" borderId="0" xfId="4" applyFont="1" applyFill="1" applyAlignment="1">
      <alignment horizontal="left"/>
    </xf>
    <xf numFmtId="0" fontId="13" fillId="0" borderId="0" xfId="4" applyFont="1" applyBorder="1"/>
    <xf numFmtId="49" fontId="12" fillId="0" borderId="0" xfId="3" applyFont="1" applyAlignment="1">
      <alignment vertical="center"/>
    </xf>
    <xf numFmtId="0" fontId="13" fillId="7" borderId="12" xfId="2" applyFont="1" applyFill="1" applyBorder="1" applyAlignment="1">
      <alignment horizontal="center" vertical="center"/>
    </xf>
    <xf numFmtId="0" fontId="13" fillId="7" borderId="12" xfId="2" applyFont="1" applyFill="1" applyBorder="1" applyAlignment="1">
      <alignment horizontal="center" vertical="center" wrapText="1"/>
    </xf>
    <xf numFmtId="0" fontId="13" fillId="7" borderId="21" xfId="2" applyFont="1" applyFill="1" applyBorder="1" applyAlignment="1">
      <alignment horizontal="center" vertical="center" wrapText="1"/>
    </xf>
    <xf numFmtId="0" fontId="13" fillId="7" borderId="58" xfId="2" applyFont="1" applyFill="1" applyBorder="1" applyAlignment="1">
      <alignment horizontal="center" vertical="center" wrapText="1"/>
    </xf>
    <xf numFmtId="0" fontId="13" fillId="7" borderId="31" xfId="2" applyFont="1" applyFill="1" applyBorder="1" applyAlignment="1">
      <alignment horizontal="center" vertical="center" wrapText="1"/>
    </xf>
    <xf numFmtId="0" fontId="12" fillId="0" borderId="0" xfId="4" applyFont="1" applyAlignment="1">
      <alignment wrapText="1"/>
    </xf>
    <xf numFmtId="0" fontId="11" fillId="0" borderId="0" xfId="2" applyFont="1" applyFill="1" applyAlignment="1">
      <alignment vertical="center"/>
    </xf>
    <xf numFmtId="0" fontId="13" fillId="0" borderId="0" xfId="4" applyFont="1" applyFill="1" applyAlignment="1">
      <alignment horizontal="left"/>
    </xf>
    <xf numFmtId="0" fontId="46" fillId="0" borderId="0" xfId="4" applyFont="1"/>
    <xf numFmtId="0" fontId="47" fillId="0" borderId="0" xfId="4" applyFont="1"/>
    <xf numFmtId="3" fontId="47" fillId="0" borderId="0" xfId="4" applyNumberFormat="1" applyFont="1"/>
    <xf numFmtId="3" fontId="47" fillId="0" borderId="29" xfId="4" applyNumberFormat="1" applyFont="1" applyBorder="1"/>
    <xf numFmtId="0" fontId="47" fillId="0" borderId="44" xfId="2" applyFont="1" applyFill="1" applyBorder="1" applyAlignment="1">
      <alignment horizontal="left" vertical="center"/>
    </xf>
    <xf numFmtId="0" fontId="47" fillId="0" borderId="26" xfId="2" applyFont="1" applyFill="1" applyBorder="1" applyAlignment="1">
      <alignment vertical="center"/>
    </xf>
    <xf numFmtId="172" fontId="47" fillId="0" borderId="29" xfId="18" applyNumberFormat="1" applyFont="1" applyFill="1" applyBorder="1" applyAlignment="1">
      <alignment vertical="center"/>
    </xf>
    <xf numFmtId="3" fontId="48" fillId="0" borderId="0" xfId="4" applyNumberFormat="1" applyFont="1"/>
    <xf numFmtId="165" fontId="47" fillId="0" borderId="26" xfId="5" applyNumberFormat="1" applyFont="1" applyFill="1" applyBorder="1" applyAlignment="1">
      <alignment vertical="center"/>
    </xf>
    <xf numFmtId="172" fontId="49" fillId="0" borderId="29" xfId="2" applyNumberFormat="1" applyFont="1" applyFill="1" applyBorder="1" applyAlignment="1">
      <alignment vertical="center"/>
    </xf>
    <xf numFmtId="0" fontId="47" fillId="0" borderId="0" xfId="0" applyFont="1"/>
    <xf numFmtId="0" fontId="49" fillId="0" borderId="26" xfId="2" applyFont="1" applyFill="1" applyBorder="1" applyAlignment="1">
      <alignment vertical="center"/>
    </xf>
    <xf numFmtId="0" fontId="49" fillId="0" borderId="29" xfId="2" applyFont="1" applyFill="1" applyBorder="1" applyAlignment="1">
      <alignment vertical="center"/>
    </xf>
    <xf numFmtId="0" fontId="47" fillId="0" borderId="14" xfId="2" applyFont="1" applyFill="1" applyBorder="1" applyAlignment="1">
      <alignment horizontal="left" vertical="center"/>
    </xf>
    <xf numFmtId="43" fontId="49" fillId="0" borderId="29" xfId="18" applyFont="1" applyFill="1" applyBorder="1" applyAlignment="1">
      <alignment vertical="center"/>
    </xf>
    <xf numFmtId="0" fontId="47" fillId="0" borderId="29" xfId="2" applyFont="1" applyFill="1" applyBorder="1" applyAlignment="1">
      <alignment vertical="center"/>
    </xf>
    <xf numFmtId="3" fontId="48" fillId="0" borderId="29" xfId="4" applyNumberFormat="1" applyFont="1" applyBorder="1"/>
    <xf numFmtId="0" fontId="47" fillId="0" borderId="85" xfId="2" applyFont="1" applyBorder="1" applyAlignment="1">
      <alignment vertical="center"/>
    </xf>
    <xf numFmtId="172" fontId="47" fillId="0" borderId="86" xfId="18" applyNumberFormat="1" applyFont="1" applyBorder="1" applyAlignment="1">
      <alignment vertical="center"/>
    </xf>
    <xf numFmtId="0" fontId="49" fillId="0" borderId="54" xfId="2" applyFont="1" applyFill="1" applyBorder="1" applyAlignment="1">
      <alignment vertical="center"/>
    </xf>
    <xf numFmtId="0" fontId="49" fillId="2" borderId="5" xfId="2" applyFont="1" applyFill="1" applyBorder="1" applyAlignment="1">
      <alignment horizontal="center" vertical="center"/>
    </xf>
    <xf numFmtId="0" fontId="49" fillId="2" borderId="18" xfId="2" applyFont="1" applyFill="1" applyBorder="1" applyAlignment="1">
      <alignment vertical="center"/>
    </xf>
    <xf numFmtId="172" fontId="49" fillId="2" borderId="18" xfId="2" applyNumberFormat="1" applyFont="1" applyFill="1" applyBorder="1" applyAlignment="1">
      <alignment vertical="center"/>
    </xf>
    <xf numFmtId="0" fontId="49" fillId="2" borderId="39" xfId="2" applyFont="1" applyFill="1" applyBorder="1" applyAlignment="1">
      <alignment vertical="center"/>
    </xf>
    <xf numFmtId="0" fontId="49" fillId="2" borderId="19" xfId="2" applyFont="1" applyFill="1" applyBorder="1" applyAlignment="1">
      <alignment vertical="center"/>
    </xf>
    <xf numFmtId="0" fontId="47" fillId="0" borderId="0" xfId="2" applyFont="1" applyFill="1" applyBorder="1" applyAlignment="1">
      <alignment horizontal="left" vertical="center"/>
    </xf>
    <xf numFmtId="0" fontId="49" fillId="0" borderId="0" xfId="2" applyFont="1" applyFill="1" applyBorder="1" applyAlignment="1">
      <alignment vertical="center"/>
    </xf>
    <xf numFmtId="0" fontId="50" fillId="0" borderId="0" xfId="4" applyFont="1" applyFill="1" applyAlignment="1">
      <alignment horizontal="left"/>
    </xf>
    <xf numFmtId="49" fontId="46" fillId="0" borderId="0" xfId="3" applyFont="1" applyAlignment="1">
      <alignment vertical="center"/>
    </xf>
    <xf numFmtId="0" fontId="46" fillId="0" borderId="0" xfId="0" applyFont="1"/>
    <xf numFmtId="0" fontId="50" fillId="7" borderId="12" xfId="2" applyFont="1" applyFill="1" applyBorder="1" applyAlignment="1">
      <alignment horizontal="center" vertical="center"/>
    </xf>
    <xf numFmtId="0" fontId="50" fillId="7" borderId="12" xfId="2" applyFont="1" applyFill="1" applyBorder="1" applyAlignment="1">
      <alignment horizontal="center" vertical="center" wrapText="1"/>
    </xf>
    <xf numFmtId="0" fontId="50" fillId="7" borderId="21" xfId="2" applyFont="1" applyFill="1" applyBorder="1" applyAlignment="1">
      <alignment horizontal="center" vertical="center" wrapText="1"/>
    </xf>
    <xf numFmtId="0" fontId="50" fillId="7" borderId="58" xfId="2" applyFont="1" applyFill="1" applyBorder="1" applyAlignment="1">
      <alignment horizontal="center" vertical="center" wrapText="1"/>
    </xf>
    <xf numFmtId="0" fontId="50" fillId="7" borderId="31" xfId="2" applyFont="1" applyFill="1" applyBorder="1" applyAlignment="1">
      <alignment horizontal="center" vertical="center" wrapText="1"/>
    </xf>
    <xf numFmtId="0" fontId="46" fillId="0" borderId="44" xfId="2" applyFont="1" applyFill="1" applyBorder="1" applyAlignment="1">
      <alignment horizontal="left" vertical="center"/>
    </xf>
    <xf numFmtId="0" fontId="46" fillId="0" borderId="26" xfId="2" applyFont="1" applyFill="1" applyBorder="1" applyAlignment="1">
      <alignment horizontal="center" vertical="center"/>
    </xf>
    <xf numFmtId="165" fontId="46" fillId="0" borderId="29" xfId="18" applyNumberFormat="1" applyFont="1" applyFill="1" applyBorder="1" applyAlignment="1">
      <alignment horizontal="center" vertical="center"/>
    </xf>
    <xf numFmtId="165" fontId="46" fillId="0" borderId="26" xfId="5" applyNumberFormat="1" applyFont="1" applyFill="1" applyBorder="1" applyAlignment="1">
      <alignment vertical="center"/>
    </xf>
    <xf numFmtId="172" fontId="50" fillId="0" borderId="29" xfId="2" applyNumberFormat="1" applyFont="1" applyFill="1" applyBorder="1" applyAlignment="1">
      <alignment vertical="center"/>
    </xf>
    <xf numFmtId="0" fontId="46" fillId="0" borderId="14" xfId="2" applyFont="1" applyFill="1" applyBorder="1" applyAlignment="1">
      <alignment horizontal="left" vertical="center"/>
    </xf>
    <xf numFmtId="0" fontId="50" fillId="2" borderId="5" xfId="2" applyFont="1" applyFill="1" applyBorder="1" applyAlignment="1">
      <alignment horizontal="center" vertical="center"/>
    </xf>
    <xf numFmtId="0" fontId="50" fillId="2" borderId="18" xfId="2" applyFont="1" applyFill="1" applyBorder="1" applyAlignment="1">
      <alignment vertical="center"/>
    </xf>
    <xf numFmtId="165" fontId="50" fillId="2" borderId="18" xfId="18" applyNumberFormat="1" applyFont="1" applyFill="1" applyBorder="1" applyAlignment="1">
      <alignment horizontal="center" vertical="center"/>
    </xf>
    <xf numFmtId="4" fontId="50" fillId="2" borderId="18" xfId="2" applyNumberFormat="1" applyFont="1" applyFill="1" applyBorder="1" applyAlignment="1">
      <alignment horizontal="center" vertical="center"/>
    </xf>
    <xf numFmtId="0" fontId="50" fillId="2" borderId="39" xfId="2" applyFont="1" applyFill="1" applyBorder="1" applyAlignment="1">
      <alignment vertical="center"/>
    </xf>
    <xf numFmtId="172" fontId="50" fillId="2" borderId="40" xfId="17" applyNumberFormat="1" applyFont="1" applyFill="1" applyBorder="1" applyAlignment="1">
      <alignment vertical="center"/>
    </xf>
    <xf numFmtId="0" fontId="46" fillId="0" borderId="0" xfId="2" applyFont="1" applyFill="1" applyBorder="1" applyAlignment="1">
      <alignment horizontal="left" vertical="center"/>
    </xf>
    <xf numFmtId="0" fontId="50" fillId="0" borderId="0" xfId="2" applyFont="1" applyFill="1" applyBorder="1" applyAlignment="1">
      <alignment vertical="center"/>
    </xf>
    <xf numFmtId="0" fontId="4" fillId="0" borderId="0" xfId="4"/>
    <xf numFmtId="0" fontId="13" fillId="0" borderId="0" xfId="4" applyFont="1" applyBorder="1"/>
    <xf numFmtId="49" fontId="12" fillId="0" borderId="0" xfId="3" applyFont="1" applyAlignment="1">
      <alignment vertical="center"/>
    </xf>
    <xf numFmtId="0" fontId="13" fillId="7" borderId="12" xfId="2" applyFont="1" applyFill="1" applyBorder="1" applyAlignment="1">
      <alignment horizontal="center" vertical="center"/>
    </xf>
    <xf numFmtId="0" fontId="13" fillId="7" borderId="12" xfId="2" applyFont="1" applyFill="1" applyBorder="1" applyAlignment="1">
      <alignment horizontal="center" vertical="center" wrapText="1"/>
    </xf>
    <xf numFmtId="0" fontId="13" fillId="7" borderId="21" xfId="2" applyFont="1" applyFill="1" applyBorder="1" applyAlignment="1">
      <alignment horizontal="center" vertical="center" wrapText="1"/>
    </xf>
    <xf numFmtId="0" fontId="13" fillId="7" borderId="58" xfId="2" applyFont="1" applyFill="1" applyBorder="1" applyAlignment="1">
      <alignment horizontal="center" vertical="center" wrapText="1"/>
    </xf>
    <xf numFmtId="0" fontId="13" fillId="7" borderId="31" xfId="2" applyFont="1" applyFill="1" applyBorder="1" applyAlignment="1">
      <alignment horizontal="center" vertical="center" wrapText="1"/>
    </xf>
    <xf numFmtId="0" fontId="9" fillId="0" borderId="0" xfId="2" applyFont="1" applyFill="1" applyAlignment="1">
      <alignment vertical="center"/>
    </xf>
    <xf numFmtId="0" fontId="46" fillId="0" borderId="26" xfId="2" applyFont="1" applyBorder="1" applyAlignment="1">
      <alignment horizontal="center" vertical="center"/>
    </xf>
    <xf numFmtId="3" fontId="46" fillId="0" borderId="29" xfId="2" applyNumberFormat="1" applyFont="1" applyBorder="1" applyAlignment="1">
      <alignment vertical="center"/>
    </xf>
    <xf numFmtId="3" fontId="46" fillId="0" borderId="29" xfId="2" applyNumberFormat="1" applyFont="1" applyFill="1" applyBorder="1" applyAlignment="1">
      <alignment vertical="center"/>
    </xf>
    <xf numFmtId="0" fontId="50" fillId="0" borderId="27" xfId="2" applyFont="1" applyFill="1" applyBorder="1" applyAlignment="1">
      <alignment vertical="center"/>
    </xf>
    <xf numFmtId="0" fontId="50" fillId="0" borderId="59" xfId="2" applyFont="1" applyFill="1" applyBorder="1" applyAlignment="1">
      <alignment vertical="center"/>
    </xf>
    <xf numFmtId="0" fontId="50" fillId="0" borderId="26" xfId="2" applyFont="1" applyFill="1" applyBorder="1" applyAlignment="1">
      <alignment vertical="center"/>
    </xf>
    <xf numFmtId="3" fontId="50" fillId="0" borderId="29" xfId="2" applyNumberFormat="1" applyFont="1" applyFill="1" applyBorder="1" applyAlignment="1">
      <alignment vertical="center"/>
    </xf>
    <xf numFmtId="0" fontId="50" fillId="0" borderId="29" xfId="2" applyFont="1" applyFill="1" applyBorder="1" applyAlignment="1">
      <alignment vertical="center"/>
    </xf>
    <xf numFmtId="3" fontId="50" fillId="2" borderId="18" xfId="2" applyNumberFormat="1" applyFont="1" applyFill="1" applyBorder="1" applyAlignment="1">
      <alignment vertical="center"/>
    </xf>
    <xf numFmtId="43" fontId="50" fillId="2" borderId="18" xfId="18" applyFont="1" applyFill="1" applyBorder="1" applyAlignment="1">
      <alignment vertical="center"/>
    </xf>
    <xf numFmtId="0" fontId="13" fillId="0" borderId="0" xfId="4" applyFont="1" applyFill="1" applyAlignment="1">
      <alignment horizontal="left"/>
    </xf>
    <xf numFmtId="0" fontId="13" fillId="5" borderId="0" xfId="2" applyFont="1" applyFill="1" applyAlignment="1">
      <alignment horizontal="center" vertical="center"/>
    </xf>
    <xf numFmtId="0" fontId="9" fillId="0" borderId="0" xfId="4" applyFont="1" applyFill="1" applyAlignment="1">
      <alignment horizontal="left"/>
    </xf>
    <xf numFmtId="0" fontId="37" fillId="0" borderId="0" xfId="0" applyFont="1"/>
    <xf numFmtId="165" fontId="12" fillId="0" borderId="79" xfId="5" applyNumberFormat="1" applyFont="1" applyBorder="1" applyAlignment="1">
      <alignment vertical="center"/>
    </xf>
    <xf numFmtId="0" fontId="13" fillId="5" borderId="0" xfId="4" applyFont="1" applyFill="1"/>
    <xf numFmtId="0" fontId="13" fillId="5" borderId="0" xfId="4" applyFont="1" applyFill="1" applyBorder="1"/>
    <xf numFmtId="0" fontId="13" fillId="7" borderId="12" xfId="4" applyFont="1" applyFill="1" applyBorder="1" applyAlignment="1">
      <alignment horizontal="center" vertical="center" textRotation="90" wrapText="1"/>
    </xf>
    <xf numFmtId="0" fontId="13" fillId="7" borderId="13" xfId="4" applyFont="1" applyFill="1" applyBorder="1" applyAlignment="1">
      <alignment horizontal="center" vertical="center" textRotation="90" wrapText="1"/>
    </xf>
    <xf numFmtId="0" fontId="13" fillId="7" borderId="47" xfId="4" applyFont="1" applyFill="1" applyBorder="1" applyAlignment="1">
      <alignment horizontal="center" vertical="center" textRotation="90" wrapText="1"/>
    </xf>
    <xf numFmtId="0" fontId="13" fillId="7" borderId="52" xfId="4" applyFont="1" applyFill="1" applyBorder="1" applyAlignment="1">
      <alignment horizontal="center" vertical="center" textRotation="90" wrapText="1"/>
    </xf>
    <xf numFmtId="0" fontId="13" fillId="7" borderId="57" xfId="4" applyFont="1" applyFill="1" applyBorder="1" applyAlignment="1">
      <alignment horizontal="center" vertical="center" textRotation="90" wrapText="1"/>
    </xf>
    <xf numFmtId="0" fontId="13" fillId="7" borderId="21" xfId="4" applyFont="1" applyFill="1" applyBorder="1" applyAlignment="1">
      <alignment horizontal="center" vertical="center" textRotation="90" wrapText="1"/>
    </xf>
    <xf numFmtId="0" fontId="13" fillId="7" borderId="14" xfId="4" applyFont="1" applyFill="1" applyBorder="1" applyAlignment="1">
      <alignment horizontal="center" vertical="center" textRotation="90" wrapText="1"/>
    </xf>
    <xf numFmtId="0" fontId="13" fillId="7" borderId="11" xfId="4" applyFont="1" applyFill="1" applyBorder="1" applyAlignment="1">
      <alignment horizontal="center"/>
    </xf>
    <xf numFmtId="0" fontId="13" fillId="7" borderId="10" xfId="4" applyFont="1" applyFill="1" applyBorder="1" applyAlignment="1">
      <alignment horizontal="center"/>
    </xf>
    <xf numFmtId="0" fontId="13" fillId="7" borderId="48" xfId="4" applyFont="1" applyFill="1" applyBorder="1" applyAlignment="1">
      <alignment horizontal="center"/>
    </xf>
    <xf numFmtId="0" fontId="13" fillId="7" borderId="48" xfId="4" quotePrefix="1" applyFont="1" applyFill="1" applyBorder="1" applyAlignment="1">
      <alignment horizontal="center"/>
    </xf>
    <xf numFmtId="0" fontId="13" fillId="7" borderId="55" xfId="4" quotePrefix="1" applyFont="1" applyFill="1" applyBorder="1" applyAlignment="1">
      <alignment horizontal="center"/>
    </xf>
    <xf numFmtId="0" fontId="13" fillId="7" borderId="9" xfId="4" quotePrefix="1" applyFont="1" applyFill="1" applyBorder="1" applyAlignment="1">
      <alignment horizontal="center"/>
    </xf>
    <xf numFmtId="0" fontId="13" fillId="7" borderId="8" xfId="4" quotePrefix="1" applyFont="1" applyFill="1" applyBorder="1" applyAlignment="1">
      <alignment horizontal="center"/>
    </xf>
    <xf numFmtId="0" fontId="13" fillId="7" borderId="8" xfId="4" applyFont="1" applyFill="1" applyBorder="1" applyAlignment="1">
      <alignment horizontal="center"/>
    </xf>
    <xf numFmtId="0" fontId="12" fillId="0" borderId="0" xfId="4" applyFont="1" applyBorder="1"/>
    <xf numFmtId="0" fontId="12" fillId="0" borderId="54" xfId="4" applyFont="1" applyBorder="1"/>
    <xf numFmtId="0" fontId="9" fillId="0" borderId="0" xfId="2" applyFont="1" applyFill="1" applyAlignment="1">
      <alignment vertical="center"/>
    </xf>
    <xf numFmtId="0" fontId="13" fillId="7" borderId="0" xfId="4" applyFont="1" applyFill="1" applyBorder="1" applyAlignment="1">
      <alignment horizontal="center" vertical="center" textRotation="90" wrapText="1"/>
    </xf>
    <xf numFmtId="0" fontId="13" fillId="7" borderId="47" xfId="4" applyFont="1" applyFill="1" applyBorder="1" applyAlignment="1">
      <alignment horizontal="center"/>
    </xf>
    <xf numFmtId="0" fontId="13" fillId="7" borderId="80" xfId="4" applyFont="1" applyFill="1" applyBorder="1" applyAlignment="1">
      <alignment horizontal="center"/>
    </xf>
    <xf numFmtId="0" fontId="12" fillId="0" borderId="117" xfId="2" applyFont="1" applyBorder="1" applyAlignment="1">
      <alignment horizontal="left" vertical="center" wrapText="1"/>
    </xf>
    <xf numFmtId="0" fontId="12" fillId="0" borderId="89" xfId="2" applyFont="1" applyBorder="1" applyAlignment="1">
      <alignment horizontal="center" vertical="center"/>
    </xf>
    <xf numFmtId="165" fontId="12" fillId="0" borderId="117" xfId="5" applyNumberFormat="1" applyFont="1" applyBorder="1" applyAlignment="1">
      <alignment horizontal="left" vertical="center"/>
    </xf>
    <xf numFmtId="0" fontId="12" fillId="0" borderId="108" xfId="2" applyFont="1" applyBorder="1" applyAlignment="1">
      <alignment horizontal="left" vertical="center" wrapText="1"/>
    </xf>
    <xf numFmtId="0" fontId="12" fillId="0" borderId="93" xfId="2" applyFont="1" applyBorder="1" applyAlignment="1">
      <alignment horizontal="center" vertical="center"/>
    </xf>
    <xf numFmtId="165" fontId="12" fillId="0" borderId="108" xfId="5" applyNumberFormat="1" applyFont="1" applyBorder="1" applyAlignment="1">
      <alignment horizontal="left" vertical="center"/>
    </xf>
    <xf numFmtId="0" fontId="12" fillId="0" borderId="120" xfId="2" applyFont="1" applyBorder="1" applyAlignment="1">
      <alignment horizontal="left" vertical="center" wrapText="1"/>
    </xf>
    <xf numFmtId="0" fontId="12" fillId="0" borderId="97" xfId="2" applyFont="1" applyBorder="1" applyAlignment="1">
      <alignment horizontal="center" vertical="center"/>
    </xf>
    <xf numFmtId="165" fontId="12" fillId="0" borderId="120" xfId="5" applyNumberFormat="1" applyFont="1" applyBorder="1" applyAlignment="1">
      <alignment horizontal="left" vertical="center"/>
    </xf>
    <xf numFmtId="0" fontId="13" fillId="0" borderId="39" xfId="0" applyFont="1" applyBorder="1" applyAlignment="1">
      <alignment horizontal="center" vertical="center"/>
    </xf>
    <xf numFmtId="0" fontId="13" fillId="0" borderId="18" xfId="0" applyFont="1" applyBorder="1" applyAlignment="1">
      <alignment horizontal="center" vertical="center"/>
    </xf>
    <xf numFmtId="0" fontId="13" fillId="0" borderId="15" xfId="0" applyFont="1" applyBorder="1" applyAlignment="1">
      <alignment horizontal="center" vertical="center"/>
    </xf>
    <xf numFmtId="0" fontId="13" fillId="0" borderId="17" xfId="0" applyFont="1" applyBorder="1" applyAlignment="1">
      <alignment horizontal="center" vertical="center"/>
    </xf>
    <xf numFmtId="0" fontId="13" fillId="0" borderId="16" xfId="0" applyFont="1" applyBorder="1" applyAlignment="1">
      <alignment horizontal="center" vertical="center"/>
    </xf>
    <xf numFmtId="0" fontId="13" fillId="0" borderId="40" xfId="0" applyFont="1" applyBorder="1" applyAlignment="1">
      <alignment horizontal="center" vertical="center"/>
    </xf>
    <xf numFmtId="0" fontId="13" fillId="0" borderId="5" xfId="0" applyFont="1" applyBorder="1" applyAlignment="1">
      <alignment horizontal="center" vertical="center"/>
    </xf>
    <xf numFmtId="165" fontId="13" fillId="0" borderId="15" xfId="5" applyNumberFormat="1" applyFont="1" applyBorder="1" applyAlignment="1">
      <alignment horizontal="center" vertical="center"/>
    </xf>
    <xf numFmtId="165" fontId="13" fillId="0" borderId="18" xfId="5" applyNumberFormat="1" applyFont="1" applyBorder="1" applyAlignment="1">
      <alignment horizontal="center" vertical="center"/>
    </xf>
    <xf numFmtId="0" fontId="13" fillId="0" borderId="0" xfId="0" applyFont="1" applyAlignment="1">
      <alignment horizontal="center" vertical="center"/>
    </xf>
    <xf numFmtId="0" fontId="12" fillId="0" borderId="90" xfId="0" applyFont="1" applyBorder="1" applyAlignment="1">
      <alignment vertical="center"/>
    </xf>
    <xf numFmtId="0" fontId="12" fillId="0" borderId="91" xfId="0" applyFont="1" applyBorder="1" applyAlignment="1">
      <alignment vertical="center"/>
    </xf>
    <xf numFmtId="0" fontId="12" fillId="0" borderId="118" xfId="0" applyFont="1" applyBorder="1" applyAlignment="1">
      <alignment horizontal="center" vertical="center"/>
    </xf>
    <xf numFmtId="0" fontId="12" fillId="0" borderId="118" xfId="0" applyFont="1" applyBorder="1" applyAlignment="1">
      <alignment vertical="center"/>
    </xf>
    <xf numFmtId="0" fontId="12" fillId="0" borderId="119" xfId="0" applyFont="1" applyBorder="1" applyAlignment="1">
      <alignment vertical="center"/>
    </xf>
    <xf numFmtId="165" fontId="12" fillId="0" borderId="91" xfId="5" applyNumberFormat="1" applyFont="1" applyBorder="1" applyAlignment="1">
      <alignment vertical="center"/>
    </xf>
    <xf numFmtId="0" fontId="12" fillId="0" borderId="94" xfId="0" applyFont="1" applyBorder="1" applyAlignment="1">
      <alignment vertical="center"/>
    </xf>
    <xf numFmtId="0" fontId="12" fillId="0" borderId="79" xfId="0" applyFont="1" applyBorder="1" applyAlignment="1">
      <alignment vertical="center"/>
    </xf>
    <xf numFmtId="0" fontId="12" fillId="0" borderId="106" xfId="0" applyFont="1" applyBorder="1" applyAlignment="1">
      <alignment horizontal="center" vertical="center"/>
    </xf>
    <xf numFmtId="0" fontId="12" fillId="0" borderId="106" xfId="0" applyFont="1" applyBorder="1" applyAlignment="1">
      <alignment vertical="center"/>
    </xf>
    <xf numFmtId="0" fontId="12" fillId="0" borderId="107" xfId="0" applyFont="1" applyBorder="1" applyAlignment="1">
      <alignment vertical="center"/>
    </xf>
    <xf numFmtId="0" fontId="12" fillId="0" borderId="98" xfId="0" applyFont="1" applyBorder="1" applyAlignment="1">
      <alignment vertical="center"/>
    </xf>
    <xf numFmtId="0" fontId="12" fillId="0" borderId="99" xfId="0" applyFont="1" applyBorder="1" applyAlignment="1">
      <alignment vertical="center"/>
    </xf>
    <xf numFmtId="0" fontId="12" fillId="0" borderId="121" xfId="0" applyFont="1" applyBorder="1" applyAlignment="1">
      <alignment horizontal="center" vertical="center"/>
    </xf>
    <xf numFmtId="0" fontId="12" fillId="0" borderId="121" xfId="0" applyFont="1" applyBorder="1" applyAlignment="1">
      <alignment vertical="center"/>
    </xf>
    <xf numFmtId="0" fontId="12" fillId="0" borderId="122" xfId="0" applyFont="1" applyBorder="1" applyAlignment="1">
      <alignment vertical="center"/>
    </xf>
    <xf numFmtId="165" fontId="12" fillId="0" borderId="99" xfId="5" applyNumberFormat="1" applyFont="1" applyBorder="1" applyAlignment="1">
      <alignment vertical="center"/>
    </xf>
    <xf numFmtId="0" fontId="12" fillId="0" borderId="91" xfId="0" applyFont="1" applyBorder="1" applyAlignment="1">
      <alignment horizontal="center" vertical="center"/>
    </xf>
    <xf numFmtId="0" fontId="12" fillId="0" borderId="94" xfId="0" applyFont="1" applyBorder="1" applyAlignment="1">
      <alignment horizontal="center" vertical="center"/>
    </xf>
    <xf numFmtId="0" fontId="12" fillId="0" borderId="79" xfId="0" applyFont="1" applyBorder="1" applyAlignment="1">
      <alignment horizontal="center" vertical="center"/>
    </xf>
    <xf numFmtId="0" fontId="12" fillId="0" borderId="98" xfId="0" applyFont="1" applyBorder="1" applyAlignment="1">
      <alignment horizontal="center" vertical="center"/>
    </xf>
    <xf numFmtId="0" fontId="12" fillId="0" borderId="99" xfId="0" applyFont="1" applyBorder="1" applyAlignment="1">
      <alignment horizontal="center" vertical="center"/>
    </xf>
    <xf numFmtId="0" fontId="12" fillId="0" borderId="57" xfId="0" applyFont="1" applyBorder="1" applyAlignment="1">
      <alignment horizontal="center" vertical="center"/>
    </xf>
    <xf numFmtId="0" fontId="12" fillId="0" borderId="91" xfId="0" applyFont="1" applyBorder="1" applyAlignment="1">
      <alignment vertical="center" wrapText="1"/>
    </xf>
    <xf numFmtId="0" fontId="12" fillId="0" borderId="79" xfId="0" applyFont="1" applyBorder="1" applyAlignment="1">
      <alignment vertical="center" wrapText="1"/>
    </xf>
    <xf numFmtId="0" fontId="12" fillId="0" borderId="90" xfId="0" applyFont="1" applyBorder="1" applyAlignment="1">
      <alignment vertical="center" wrapText="1"/>
    </xf>
    <xf numFmtId="0" fontId="12" fillId="0" borderId="94" xfId="0" applyFont="1" applyBorder="1" applyAlignment="1">
      <alignment vertical="center" wrapText="1"/>
    </xf>
    <xf numFmtId="0" fontId="12" fillId="0" borderId="118" xfId="0" applyFont="1" applyBorder="1" applyAlignment="1">
      <alignment vertical="center" wrapText="1"/>
    </xf>
    <xf numFmtId="0" fontId="12" fillId="0" borderId="106" xfId="0" applyFont="1" applyBorder="1" applyAlignment="1">
      <alignment vertical="center" wrapText="1"/>
    </xf>
    <xf numFmtId="49" fontId="5" fillId="0" borderId="28" xfId="30" applyNumberFormat="1" applyFont="1" applyFill="1" applyBorder="1" applyAlignment="1">
      <alignment horizontal="center" vertical="center" wrapText="1"/>
    </xf>
    <xf numFmtId="0" fontId="5" fillId="0" borderId="28" xfId="30" applyNumberFormat="1" applyFont="1" applyFill="1" applyBorder="1" applyAlignment="1">
      <alignment horizontal="center" vertical="center" wrapText="1"/>
    </xf>
    <xf numFmtId="165" fontId="5" fillId="0" borderId="28" xfId="18" applyNumberFormat="1" applyFont="1" applyFill="1" applyBorder="1" applyAlignment="1">
      <alignment horizontal="center" vertical="center" wrapText="1"/>
    </xf>
    <xf numFmtId="0" fontId="24" fillId="7" borderId="5" xfId="2" applyFont="1" applyFill="1" applyBorder="1" applyAlignment="1">
      <alignment horizontal="center" vertical="center" wrapText="1"/>
    </xf>
    <xf numFmtId="0" fontId="12" fillId="0" borderId="28" xfId="2" applyFont="1" applyBorder="1" applyAlignment="1">
      <alignment horizontal="left" vertical="center" wrapText="1"/>
    </xf>
    <xf numFmtId="0" fontId="12" fillId="0" borderId="28" xfId="2" applyFont="1" applyBorder="1" applyAlignment="1">
      <alignment horizontal="left" vertical="center"/>
    </xf>
    <xf numFmtId="0" fontId="13" fillId="0" borderId="0" xfId="2" applyFont="1" applyFill="1" applyAlignment="1">
      <alignment horizontal="center" vertical="center"/>
    </xf>
    <xf numFmtId="0" fontId="5" fillId="0" borderId="72" xfId="30" applyNumberFormat="1" applyFont="1" applyFill="1" applyBorder="1" applyAlignment="1">
      <alignment horizontal="center" vertical="center" wrapText="1"/>
    </xf>
    <xf numFmtId="49" fontId="5" fillId="0" borderId="72" xfId="30" applyNumberFormat="1" applyFont="1" applyFill="1" applyBorder="1" applyAlignment="1">
      <alignment horizontal="center" vertical="center" wrapText="1"/>
    </xf>
    <xf numFmtId="165" fontId="5" fillId="0" borderId="27" xfId="18" applyNumberFormat="1" applyFont="1" applyFill="1" applyBorder="1" applyAlignment="1">
      <alignment horizontal="center" vertical="center" wrapText="1"/>
    </xf>
    <xf numFmtId="164" fontId="12" fillId="0" borderId="0" xfId="4" applyNumberFormat="1" applyFont="1"/>
    <xf numFmtId="0" fontId="12" fillId="0" borderId="0" xfId="4" applyFont="1" applyAlignment="1">
      <alignment horizontal="center"/>
    </xf>
    <xf numFmtId="0" fontId="12" fillId="0" borderId="0" xfId="4" applyFont="1" applyBorder="1" applyAlignment="1">
      <alignment vertical="center"/>
    </xf>
    <xf numFmtId="43" fontId="13" fillId="9" borderId="72" xfId="4" applyNumberFormat="1" applyFont="1" applyFill="1" applyBorder="1" applyAlignment="1">
      <alignment vertical="center"/>
    </xf>
    <xf numFmtId="0" fontId="13" fillId="9" borderId="72" xfId="4" applyFont="1" applyFill="1" applyBorder="1" applyAlignment="1">
      <alignment vertical="center"/>
    </xf>
    <xf numFmtId="164" fontId="13" fillId="9" borderId="72" xfId="4" applyNumberFormat="1" applyFont="1" applyFill="1" applyBorder="1" applyAlignment="1">
      <alignment vertical="center"/>
    </xf>
    <xf numFmtId="0" fontId="13" fillId="9" borderId="72" xfId="4" applyFont="1" applyFill="1" applyBorder="1" applyAlignment="1">
      <alignment horizontal="center" vertical="center"/>
    </xf>
    <xf numFmtId="0" fontId="12" fillId="9" borderId="1" xfId="4" applyFont="1" applyFill="1" applyBorder="1" applyAlignment="1">
      <alignment vertical="center"/>
    </xf>
    <xf numFmtId="3" fontId="13" fillId="9" borderId="73" xfId="4" applyNumberFormat="1" applyFont="1" applyFill="1" applyBorder="1" applyAlignment="1">
      <alignment vertical="center"/>
    </xf>
    <xf numFmtId="0" fontId="13" fillId="9" borderId="28" xfId="4" applyFont="1" applyFill="1" applyBorder="1" applyAlignment="1">
      <alignment vertical="center"/>
    </xf>
    <xf numFmtId="3" fontId="13" fillId="9" borderId="28" xfId="4" applyNumberFormat="1" applyFont="1" applyFill="1" applyBorder="1" applyAlignment="1">
      <alignment vertical="center"/>
    </xf>
    <xf numFmtId="164" fontId="12" fillId="0" borderId="28" xfId="4" applyNumberFormat="1" applyFont="1" applyBorder="1"/>
    <xf numFmtId="0" fontId="13" fillId="0" borderId="28" xfId="4" applyFont="1" applyBorder="1" applyAlignment="1">
      <alignment vertical="center"/>
    </xf>
    <xf numFmtId="0" fontId="12" fillId="0" borderId="28" xfId="4" applyFont="1" applyBorder="1"/>
    <xf numFmtId="0" fontId="12" fillId="0" borderId="28" xfId="4" applyFont="1" applyBorder="1" applyAlignment="1">
      <alignment horizontal="center"/>
    </xf>
    <xf numFmtId="3" fontId="13" fillId="9" borderId="34" xfId="4" applyNumberFormat="1" applyFont="1" applyFill="1" applyBorder="1" applyAlignment="1">
      <alignment vertical="center"/>
    </xf>
    <xf numFmtId="0" fontId="13" fillId="9" borderId="34" xfId="4" applyFont="1" applyFill="1" applyBorder="1" applyAlignment="1">
      <alignment vertical="center"/>
    </xf>
    <xf numFmtId="3" fontId="13" fillId="9" borderId="123" xfId="4" applyNumberFormat="1" applyFont="1" applyFill="1" applyBorder="1" applyAlignment="1">
      <alignment vertical="center"/>
    </xf>
    <xf numFmtId="0" fontId="12" fillId="0" borderId="73" xfId="4" applyFont="1" applyBorder="1"/>
    <xf numFmtId="165" fontId="12" fillId="0" borderId="28" xfId="18" applyNumberFormat="1" applyFont="1" applyBorder="1" applyAlignment="1">
      <alignment vertical="center"/>
    </xf>
    <xf numFmtId="0" fontId="12" fillId="0" borderId="28" xfId="4" applyFont="1" applyBorder="1" applyAlignment="1">
      <alignment horizontal="center" vertical="center"/>
    </xf>
    <xf numFmtId="0" fontId="12" fillId="0" borderId="28" xfId="4" applyNumberFormat="1" applyFont="1" applyBorder="1" applyAlignment="1">
      <alignment horizontal="center" vertical="center"/>
    </xf>
    <xf numFmtId="0" fontId="12" fillId="0" borderId="28" xfId="4" applyFont="1" applyBorder="1" applyAlignment="1">
      <alignment vertical="center" wrapText="1"/>
    </xf>
    <xf numFmtId="0" fontId="12" fillId="0" borderId="28" xfId="4" applyFont="1" applyBorder="1" applyAlignment="1">
      <alignment vertical="center"/>
    </xf>
    <xf numFmtId="0" fontId="12" fillId="5" borderId="28" xfId="4" applyFont="1" applyFill="1" applyBorder="1" applyAlignment="1">
      <alignment horizontal="center" wrapText="1"/>
    </xf>
    <xf numFmtId="165" fontId="13" fillId="0" borderId="28" xfId="18" applyNumberFormat="1" applyFont="1" applyBorder="1" applyAlignment="1">
      <alignment vertical="center"/>
    </xf>
    <xf numFmtId="164" fontId="12" fillId="0" borderId="0" xfId="4" applyNumberFormat="1" applyFont="1" applyAlignment="1">
      <alignment vertical="center"/>
    </xf>
    <xf numFmtId="0" fontId="12" fillId="0" borderId="0" xfId="4" applyFont="1" applyAlignment="1">
      <alignment horizontal="center" vertical="center"/>
    </xf>
    <xf numFmtId="0" fontId="13" fillId="0" borderId="0" xfId="4" applyFont="1" applyAlignment="1">
      <alignment vertical="center"/>
    </xf>
    <xf numFmtId="3" fontId="12" fillId="0" borderId="28" xfId="4" applyNumberFormat="1" applyFont="1" applyBorder="1" applyAlignment="1">
      <alignment vertical="center"/>
    </xf>
    <xf numFmtId="3" fontId="12" fillId="0" borderId="0" xfId="4" applyNumberFormat="1" applyFont="1"/>
    <xf numFmtId="165" fontId="13" fillId="3" borderId="28" xfId="30" applyNumberFormat="1" applyFont="1" applyFill="1" applyBorder="1"/>
    <xf numFmtId="164" fontId="13" fillId="3" borderId="28" xfId="30" applyNumberFormat="1" applyFont="1" applyFill="1" applyBorder="1"/>
    <xf numFmtId="164" fontId="12" fillId="3" borderId="28" xfId="30" applyNumberFormat="1" applyFont="1" applyFill="1" applyBorder="1"/>
    <xf numFmtId="165" fontId="12" fillId="0" borderId="28" xfId="18" applyNumberFormat="1" applyFont="1" applyBorder="1"/>
    <xf numFmtId="164" fontId="12" fillId="0" borderId="28" xfId="4" applyNumberFormat="1" applyFont="1" applyBorder="1" applyAlignment="1">
      <alignment horizontal="center"/>
    </xf>
    <xf numFmtId="0" fontId="12" fillId="0" borderId="28" xfId="4" quotePrefix="1" applyFont="1" applyBorder="1" applyAlignment="1">
      <alignment horizontal="center" vertical="center"/>
    </xf>
    <xf numFmtId="0" fontId="12" fillId="0" borderId="28" xfId="4" applyFont="1" applyBorder="1" applyAlignment="1">
      <alignment wrapText="1"/>
    </xf>
    <xf numFmtId="165" fontId="5" fillId="0" borderId="47" xfId="18" applyNumberFormat="1" applyFont="1" applyFill="1" applyBorder="1" applyAlignment="1">
      <alignment horizontal="center" vertical="center" wrapText="1"/>
    </xf>
    <xf numFmtId="49" fontId="5" fillId="0" borderId="47" xfId="30" applyNumberFormat="1" applyFont="1" applyFill="1" applyBorder="1" applyAlignment="1">
      <alignment horizontal="center" vertical="center" wrapText="1"/>
    </xf>
    <xf numFmtId="0" fontId="5" fillId="0" borderId="47" xfId="30" applyNumberFormat="1" applyFont="1" applyFill="1" applyBorder="1" applyAlignment="1">
      <alignment horizontal="center" vertical="center" wrapText="1"/>
    </xf>
    <xf numFmtId="0" fontId="13" fillId="0" borderId="0" xfId="4" applyFont="1" applyAlignment="1">
      <alignment horizontal="center" textRotation="90" wrapText="1"/>
    </xf>
    <xf numFmtId="0" fontId="13" fillId="0" borderId="0" xfId="4" applyFont="1" applyBorder="1" applyAlignment="1">
      <alignment horizontal="center" textRotation="90" wrapText="1"/>
    </xf>
    <xf numFmtId="165" fontId="5" fillId="9" borderId="72" xfId="18" applyNumberFormat="1" applyFont="1" applyFill="1" applyBorder="1" applyAlignment="1">
      <alignment horizontal="center" vertical="center" wrapText="1"/>
    </xf>
    <xf numFmtId="49" fontId="5" fillId="9" borderId="72" xfId="30" applyNumberFormat="1" applyFont="1" applyFill="1" applyBorder="1" applyAlignment="1">
      <alignment horizontal="center" vertical="center" wrapText="1"/>
    </xf>
    <xf numFmtId="0" fontId="5" fillId="9" borderId="72" xfId="30" applyNumberFormat="1" applyFont="1" applyFill="1" applyBorder="1" applyAlignment="1">
      <alignment horizontal="center" vertical="center" wrapText="1"/>
    </xf>
    <xf numFmtId="0" fontId="12" fillId="9" borderId="72" xfId="4" applyFont="1" applyFill="1" applyBorder="1" applyAlignment="1">
      <alignment vertical="center"/>
    </xf>
    <xf numFmtId="0" fontId="12" fillId="9" borderId="72" xfId="2" applyFont="1" applyFill="1" applyBorder="1" applyAlignment="1">
      <alignment horizontal="left" vertical="center"/>
    </xf>
    <xf numFmtId="0" fontId="12" fillId="9" borderId="72" xfId="2" applyFont="1" applyFill="1" applyBorder="1" applyAlignment="1">
      <alignment horizontal="left" vertical="center" wrapText="1"/>
    </xf>
    <xf numFmtId="0" fontId="12" fillId="9" borderId="72" xfId="4" applyFont="1" applyFill="1" applyBorder="1" applyAlignment="1">
      <alignment horizontal="center" vertical="center"/>
    </xf>
    <xf numFmtId="4" fontId="12" fillId="9" borderId="72" xfId="4" applyNumberFormat="1" applyFont="1" applyFill="1" applyBorder="1" applyAlignment="1">
      <alignment vertical="center"/>
    </xf>
    <xf numFmtId="0" fontId="12" fillId="9" borderId="72" xfId="4" applyFont="1" applyFill="1" applyBorder="1" applyAlignment="1">
      <alignment vertical="center" wrapText="1"/>
    </xf>
    <xf numFmtId="0" fontId="13" fillId="9" borderId="1" xfId="4" quotePrefix="1" applyFont="1" applyFill="1" applyBorder="1" applyAlignment="1">
      <alignment vertical="center"/>
    </xf>
    <xf numFmtId="164" fontId="13" fillId="7" borderId="51" xfId="4" applyNumberFormat="1" applyFont="1" applyFill="1" applyBorder="1" applyAlignment="1">
      <alignment horizontal="center" textRotation="90" wrapText="1"/>
    </xf>
    <xf numFmtId="164" fontId="13" fillId="7" borderId="46" xfId="4" applyNumberFormat="1" applyFont="1" applyFill="1" applyBorder="1" applyAlignment="1">
      <alignment horizontal="center" textRotation="90" wrapText="1"/>
    </xf>
    <xf numFmtId="164" fontId="13" fillId="7" borderId="57" xfId="4" applyNumberFormat="1" applyFont="1" applyFill="1" applyBorder="1" applyAlignment="1">
      <alignment horizontal="center" textRotation="90" wrapText="1"/>
    </xf>
    <xf numFmtId="0" fontId="13" fillId="7" borderId="45" xfId="4" applyFont="1" applyFill="1" applyBorder="1" applyAlignment="1">
      <alignment horizontal="center" vertical="center" wrapText="1"/>
    </xf>
    <xf numFmtId="0" fontId="13" fillId="7" borderId="50" xfId="4" applyFont="1" applyFill="1" applyBorder="1" applyAlignment="1">
      <alignment horizontal="center" vertical="center" wrapText="1"/>
    </xf>
    <xf numFmtId="0" fontId="13" fillId="7" borderId="46" xfId="4" applyFont="1" applyFill="1" applyBorder="1" applyAlignment="1">
      <alignment horizontal="center" vertical="center" wrapText="1"/>
    </xf>
    <xf numFmtId="0" fontId="13" fillId="7" borderId="57" xfId="4" applyFont="1" applyFill="1" applyBorder="1" applyAlignment="1">
      <alignment horizontal="center" vertical="center" wrapText="1"/>
    </xf>
    <xf numFmtId="0" fontId="13" fillId="7" borderId="51" xfId="4" applyFont="1" applyFill="1" applyBorder="1" applyAlignment="1">
      <alignment horizontal="center" vertical="center" wrapText="1"/>
    </xf>
    <xf numFmtId="0" fontId="12" fillId="0" borderId="0" xfId="4" applyFont="1" applyAlignment="1">
      <alignment horizontal="center" wrapText="1"/>
    </xf>
    <xf numFmtId="0" fontId="12" fillId="0" borderId="0" xfId="4" applyFont="1" applyBorder="1" applyAlignment="1">
      <alignment horizontal="center" wrapText="1"/>
    </xf>
    <xf numFmtId="0" fontId="13" fillId="0" borderId="0" xfId="4" applyFont="1" applyFill="1" applyBorder="1"/>
    <xf numFmtId="0" fontId="53" fillId="0" borderId="0" xfId="0" applyFont="1"/>
    <xf numFmtId="164" fontId="54" fillId="11" borderId="1" xfId="9" applyFont="1" applyFill="1" applyBorder="1" applyAlignment="1">
      <alignment horizontal="justify" vertical="center" wrapText="1"/>
    </xf>
    <xf numFmtId="164" fontId="54" fillId="11" borderId="28" xfId="9" applyFont="1" applyFill="1" applyBorder="1" applyAlignment="1">
      <alignment horizontal="center" vertical="center" wrapText="1"/>
    </xf>
    <xf numFmtId="0" fontId="53" fillId="0" borderId="28" xfId="2" applyFont="1" applyBorder="1" applyAlignment="1">
      <alignment horizontal="center" vertical="center" wrapText="1"/>
    </xf>
    <xf numFmtId="168" fontId="54" fillId="12" borderId="28" xfId="8" applyNumberFormat="1" applyFont="1" applyFill="1" applyBorder="1" applyAlignment="1">
      <alignment horizontal="center" vertical="center" wrapText="1"/>
    </xf>
    <xf numFmtId="14" fontId="53" fillId="0" borderId="28" xfId="2" applyNumberFormat="1" applyFont="1" applyBorder="1" applyAlignment="1">
      <alignment horizontal="center" vertical="center" wrapText="1"/>
    </xf>
    <xf numFmtId="164" fontId="53" fillId="0" borderId="28" xfId="9" applyFont="1" applyBorder="1" applyAlignment="1">
      <alignment horizontal="center" vertical="center" wrapText="1"/>
    </xf>
    <xf numFmtId="164" fontId="54" fillId="0" borderId="1" xfId="9" applyFont="1" applyBorder="1" applyAlignment="1">
      <alignment horizontal="justify" vertical="center" wrapText="1"/>
    </xf>
    <xf numFmtId="164" fontId="54" fillId="0" borderId="28" xfId="9" applyFont="1" applyBorder="1" applyAlignment="1">
      <alignment horizontal="center" vertical="center" wrapText="1"/>
    </xf>
    <xf numFmtId="168" fontId="54" fillId="0" borderId="28" xfId="8" applyNumberFormat="1" applyFont="1" applyFill="1" applyBorder="1" applyAlignment="1">
      <alignment horizontal="center" vertical="center" wrapText="1"/>
    </xf>
    <xf numFmtId="14" fontId="53" fillId="0" borderId="28" xfId="9" applyNumberFormat="1" applyFont="1" applyBorder="1" applyAlignment="1">
      <alignment horizontal="center" vertical="center" wrapText="1"/>
    </xf>
    <xf numFmtId="49" fontId="53" fillId="0" borderId="28" xfId="1" applyNumberFormat="1" applyFont="1" applyBorder="1" applyAlignment="1">
      <alignment horizontal="center" vertical="center" wrapText="1"/>
    </xf>
    <xf numFmtId="14" fontId="53" fillId="0" borderId="0" xfId="9" applyNumberFormat="1" applyFont="1" applyAlignment="1">
      <alignment horizontal="center" vertical="center" wrapText="1"/>
    </xf>
    <xf numFmtId="0" fontId="52" fillId="9" borderId="0" xfId="2" applyFont="1" applyFill="1" applyBorder="1" applyAlignment="1">
      <alignment horizontal="center" vertical="center" wrapText="1"/>
    </xf>
    <xf numFmtId="49" fontId="53" fillId="0" borderId="28" xfId="9" applyNumberFormat="1" applyFont="1" applyBorder="1" applyAlignment="1">
      <alignment horizontal="center" vertical="center" wrapText="1"/>
    </xf>
    <xf numFmtId="49" fontId="53" fillId="0" borderId="23" xfId="9" applyNumberFormat="1" applyFont="1" applyBorder="1" applyAlignment="1">
      <alignment horizontal="center" vertical="center" wrapText="1"/>
    </xf>
    <xf numFmtId="43" fontId="53" fillId="0" borderId="28" xfId="8" applyFont="1" applyFill="1" applyBorder="1" applyAlignment="1">
      <alignment horizontal="center" vertical="center" wrapText="1"/>
    </xf>
    <xf numFmtId="43" fontId="53" fillId="0" borderId="1" xfId="8" applyFont="1" applyFill="1" applyBorder="1" applyAlignment="1">
      <alignment horizontal="center" vertical="center" wrapText="1"/>
    </xf>
    <xf numFmtId="43" fontId="53" fillId="0" borderId="23" xfId="8" applyFont="1" applyFill="1" applyBorder="1" applyAlignment="1">
      <alignment horizontal="center" vertical="center" wrapText="1"/>
    </xf>
    <xf numFmtId="164" fontId="53" fillId="0" borderId="23" xfId="9" applyFont="1" applyBorder="1" applyAlignment="1">
      <alignment horizontal="center" vertical="center" wrapText="1"/>
    </xf>
    <xf numFmtId="43" fontId="53" fillId="5" borderId="28" xfId="8" applyFont="1" applyFill="1" applyBorder="1" applyAlignment="1">
      <alignment horizontal="center" vertical="center" wrapText="1"/>
    </xf>
    <xf numFmtId="49" fontId="53" fillId="5" borderId="28" xfId="9" applyNumberFormat="1" applyFont="1" applyFill="1" applyBorder="1" applyAlignment="1">
      <alignment horizontal="center" vertical="center" wrapText="1"/>
    </xf>
    <xf numFmtId="0" fontId="52" fillId="0" borderId="72" xfId="2" applyFont="1" applyFill="1" applyBorder="1" applyAlignment="1">
      <alignment horizontal="center" vertical="center" wrapText="1"/>
    </xf>
    <xf numFmtId="0" fontId="52" fillId="0" borderId="27" xfId="2" applyFont="1" applyFill="1" applyBorder="1" applyAlignment="1">
      <alignment horizontal="center" vertical="center" wrapText="1"/>
    </xf>
    <xf numFmtId="0" fontId="52" fillId="0" borderId="41" xfId="2" applyFont="1" applyFill="1" applyBorder="1" applyAlignment="1">
      <alignment horizontal="center" vertical="center" wrapText="1"/>
    </xf>
    <xf numFmtId="0" fontId="52" fillId="0" borderId="42" xfId="2" applyFont="1" applyFill="1" applyBorder="1" applyAlignment="1">
      <alignment horizontal="center" vertical="center" wrapText="1"/>
    </xf>
    <xf numFmtId="0" fontId="52" fillId="0" borderId="73" xfId="2" applyFont="1" applyFill="1" applyBorder="1" applyAlignment="1">
      <alignment horizontal="left" vertical="center"/>
    </xf>
    <xf numFmtId="0" fontId="52" fillId="0" borderId="73" xfId="2" applyFont="1" applyFill="1" applyBorder="1" applyAlignment="1">
      <alignment vertical="center"/>
    </xf>
    <xf numFmtId="0" fontId="52" fillId="0" borderId="41" xfId="2" applyFont="1" applyFill="1" applyBorder="1" applyAlignment="1">
      <alignment horizontal="left" vertical="center"/>
    </xf>
    <xf numFmtId="0" fontId="52" fillId="0" borderId="41" xfId="2" applyFont="1" applyFill="1" applyBorder="1" applyAlignment="1">
      <alignment vertical="center"/>
    </xf>
    <xf numFmtId="170" fontId="53" fillId="5" borderId="28" xfId="0" applyNumberFormat="1" applyFont="1" applyFill="1" applyBorder="1" applyAlignment="1">
      <alignment horizontal="center" vertical="center"/>
    </xf>
    <xf numFmtId="14" fontId="53" fillId="5" borderId="28" xfId="0" applyNumberFormat="1" applyFont="1" applyFill="1" applyBorder="1" applyAlignment="1">
      <alignment horizontal="center" vertical="center"/>
    </xf>
    <xf numFmtId="170" fontId="53" fillId="5" borderId="28" xfId="0" applyNumberFormat="1" applyFont="1" applyFill="1" applyBorder="1" applyAlignment="1">
      <alignment horizontal="center" vertical="center" wrapText="1"/>
    </xf>
    <xf numFmtId="170" fontId="53" fillId="5" borderId="34" xfId="0" applyNumberFormat="1" applyFont="1" applyFill="1" applyBorder="1" applyAlignment="1">
      <alignment horizontal="center" vertical="center" wrapText="1"/>
    </xf>
    <xf numFmtId="0" fontId="52" fillId="9" borderId="13" xfId="2" applyFont="1" applyFill="1" applyBorder="1" applyAlignment="1">
      <alignment horizontal="center" vertical="center" wrapText="1"/>
    </xf>
    <xf numFmtId="0" fontId="56" fillId="9" borderId="52" xfId="2" applyFont="1" applyFill="1" applyBorder="1" applyAlignment="1">
      <alignment vertical="center"/>
    </xf>
    <xf numFmtId="0" fontId="52" fillId="9" borderId="72" xfId="2" applyFont="1" applyFill="1" applyBorder="1" applyAlignment="1">
      <alignment horizontal="center" vertical="center" wrapText="1"/>
    </xf>
    <xf numFmtId="14" fontId="55" fillId="0" borderId="124" xfId="9" applyNumberFormat="1" applyFont="1" applyBorder="1" applyAlignment="1">
      <alignment horizontal="center" vertical="center" wrapText="1"/>
    </xf>
    <xf numFmtId="0" fontId="52" fillId="9" borderId="41" xfId="2" applyFont="1" applyFill="1" applyBorder="1" applyAlignment="1">
      <alignment horizontal="center" vertical="center" wrapText="1"/>
    </xf>
    <xf numFmtId="173" fontId="52" fillId="9" borderId="28" xfId="2" applyNumberFormat="1" applyFont="1" applyFill="1" applyBorder="1" applyAlignment="1">
      <alignment horizontal="center" vertical="center"/>
    </xf>
    <xf numFmtId="0" fontId="52" fillId="0" borderId="125" xfId="2" applyFont="1" applyFill="1" applyBorder="1" applyAlignment="1">
      <alignment horizontal="left" vertical="center"/>
    </xf>
    <xf numFmtId="0" fontId="52" fillId="0" borderId="123" xfId="2" applyFont="1" applyFill="1" applyBorder="1" applyAlignment="1">
      <alignment vertical="center"/>
    </xf>
    <xf numFmtId="0" fontId="52" fillId="0" borderId="42" xfId="2" applyFont="1" applyFill="1" applyBorder="1" applyAlignment="1">
      <alignment vertical="center"/>
    </xf>
    <xf numFmtId="0" fontId="53" fillId="5" borderId="1" xfId="0" applyFont="1" applyFill="1" applyBorder="1" applyAlignment="1">
      <alignment horizontal="justify" vertical="center" wrapText="1"/>
    </xf>
    <xf numFmtId="49" fontId="53" fillId="0" borderId="1" xfId="0" applyNumberFormat="1" applyFont="1" applyBorder="1" applyAlignment="1">
      <alignment horizontal="justify" vertical="center" wrapText="1"/>
    </xf>
    <xf numFmtId="0" fontId="53" fillId="0" borderId="1" xfId="0" applyFont="1" applyBorder="1" applyAlignment="1">
      <alignment horizontal="justify" vertical="center" wrapText="1"/>
    </xf>
    <xf numFmtId="0" fontId="53" fillId="5" borderId="1" xfId="4" applyFont="1" applyFill="1" applyBorder="1" applyAlignment="1">
      <alignment horizontal="justify" vertical="center" wrapText="1"/>
    </xf>
    <xf numFmtId="0" fontId="53" fillId="5" borderId="1" xfId="0" quotePrefix="1" applyFont="1" applyFill="1" applyBorder="1" applyAlignment="1">
      <alignment horizontal="justify" vertical="center" wrapText="1"/>
    </xf>
    <xf numFmtId="0" fontId="53" fillId="0" borderId="28" xfId="2" applyFont="1" applyBorder="1" applyAlignment="1">
      <alignment horizontal="center" vertical="center"/>
    </xf>
    <xf numFmtId="0" fontId="53" fillId="0" borderId="28" xfId="0" quotePrefix="1" applyFont="1" applyBorder="1" applyAlignment="1">
      <alignment horizontal="center" vertical="center" wrapText="1"/>
    </xf>
    <xf numFmtId="0" fontId="53" fillId="5" borderId="28" xfId="0" applyFont="1" applyFill="1" applyBorder="1" applyAlignment="1">
      <alignment horizontal="center" vertical="center" wrapText="1"/>
    </xf>
    <xf numFmtId="173" fontId="53" fillId="5" borderId="28" xfId="0" quotePrefix="1" applyNumberFormat="1" applyFont="1" applyFill="1" applyBorder="1" applyAlignment="1">
      <alignment horizontal="center" vertical="center" wrapText="1"/>
    </xf>
    <xf numFmtId="170" fontId="53" fillId="0" borderId="28" xfId="2" applyNumberFormat="1" applyFont="1" applyBorder="1" applyAlignment="1">
      <alignment horizontal="center" vertical="center"/>
    </xf>
    <xf numFmtId="0" fontId="53" fillId="5" borderId="28" xfId="4" applyFont="1" applyFill="1" applyBorder="1" applyAlignment="1">
      <alignment horizontal="center" vertical="center" wrapText="1"/>
    </xf>
    <xf numFmtId="174" fontId="53" fillId="5" borderId="28" xfId="0" quotePrefix="1" applyNumberFormat="1" applyFont="1" applyFill="1" applyBorder="1" applyAlignment="1">
      <alignment horizontal="center" vertical="center" wrapText="1"/>
    </xf>
    <xf numFmtId="173" fontId="53" fillId="5" borderId="28" xfId="0" applyNumberFormat="1" applyFont="1" applyFill="1" applyBorder="1" applyAlignment="1">
      <alignment horizontal="center" vertical="center" wrapText="1"/>
    </xf>
    <xf numFmtId="173" fontId="53" fillId="0" borderId="28" xfId="0" applyNumberFormat="1" applyFont="1" applyBorder="1" applyAlignment="1">
      <alignment horizontal="center" vertical="center" wrapText="1"/>
    </xf>
    <xf numFmtId="170" fontId="53" fillId="5" borderId="34" xfId="0" applyNumberFormat="1" applyFont="1" applyFill="1" applyBorder="1" applyAlignment="1">
      <alignment horizontal="center" vertical="center"/>
    </xf>
    <xf numFmtId="173" fontId="55" fillId="5" borderId="28" xfId="0" quotePrefix="1" applyNumberFormat="1" applyFont="1" applyFill="1" applyBorder="1" applyAlignment="1">
      <alignment horizontal="center" vertical="center" wrapText="1"/>
    </xf>
    <xf numFmtId="15" fontId="53" fillId="5" borderId="28" xfId="0" applyNumberFormat="1" applyFont="1" applyFill="1" applyBorder="1" applyAlignment="1">
      <alignment horizontal="center" vertical="center" wrapText="1"/>
    </xf>
    <xf numFmtId="174" fontId="53" fillId="5" borderId="47" xfId="4" applyNumberFormat="1" applyFont="1" applyFill="1" applyBorder="1" applyAlignment="1">
      <alignment horizontal="center" vertical="center" wrapText="1"/>
    </xf>
    <xf numFmtId="173" fontId="53" fillId="0" borderId="34" xfId="0" applyNumberFormat="1" applyFont="1" applyBorder="1" applyAlignment="1">
      <alignment horizontal="center" vertical="center"/>
    </xf>
    <xf numFmtId="0" fontId="53" fillId="5" borderId="34" xfId="0" applyFont="1" applyFill="1" applyBorder="1" applyAlignment="1">
      <alignment horizontal="center" vertical="center" wrapText="1"/>
    </xf>
    <xf numFmtId="170" fontId="53" fillId="0" borderId="34" xfId="2" applyNumberFormat="1" applyFont="1" applyBorder="1" applyAlignment="1">
      <alignment horizontal="center" vertical="center"/>
    </xf>
    <xf numFmtId="0" fontId="53" fillId="0" borderId="34" xfId="2" applyFont="1" applyBorder="1" applyAlignment="1">
      <alignment horizontal="center" vertical="center"/>
    </xf>
    <xf numFmtId="0" fontId="53" fillId="5" borderId="28" xfId="4" applyFont="1" applyFill="1" applyBorder="1" applyAlignment="1">
      <alignment horizontal="justify" vertical="center" wrapText="1"/>
    </xf>
    <xf numFmtId="167" fontId="53" fillId="5" borderId="28" xfId="0" applyNumberFormat="1" applyFont="1" applyFill="1" applyBorder="1" applyAlignment="1">
      <alignment horizontal="center" vertical="center" wrapText="1"/>
    </xf>
    <xf numFmtId="167" fontId="53" fillId="0" borderId="28" xfId="2" applyNumberFormat="1" applyFont="1" applyBorder="1" applyAlignment="1">
      <alignment horizontal="center" vertical="center"/>
    </xf>
    <xf numFmtId="0" fontId="53" fillId="5" borderId="28" xfId="0" applyFont="1" applyFill="1" applyBorder="1" applyAlignment="1">
      <alignment horizontal="justify" vertical="center" wrapText="1"/>
    </xf>
    <xf numFmtId="173" fontId="53" fillId="0" borderId="28" xfId="0" applyNumberFormat="1" applyFont="1" applyBorder="1" applyAlignment="1">
      <alignment horizontal="center" vertical="center"/>
    </xf>
    <xf numFmtId="173" fontId="53" fillId="5" borderId="47" xfId="0" applyNumberFormat="1" applyFont="1" applyFill="1" applyBorder="1" applyAlignment="1">
      <alignment horizontal="center" vertical="center" wrapText="1"/>
    </xf>
    <xf numFmtId="0" fontId="53" fillId="5" borderId="28" xfId="0" quotePrefix="1" applyFont="1" applyFill="1" applyBorder="1" applyAlignment="1">
      <alignment horizontal="justify" vertical="center" wrapText="1"/>
    </xf>
    <xf numFmtId="0" fontId="52" fillId="0" borderId="28" xfId="2" applyFont="1" applyBorder="1" applyAlignment="1">
      <alignment vertical="center"/>
    </xf>
    <xf numFmtId="0" fontId="53" fillId="5" borderId="24" xfId="0" applyFont="1" applyFill="1" applyBorder="1" applyAlignment="1">
      <alignment horizontal="justify" vertical="center" wrapText="1"/>
    </xf>
    <xf numFmtId="0" fontId="53" fillId="0" borderId="41" xfId="2" applyFont="1" applyBorder="1" applyAlignment="1">
      <alignment horizontal="center" vertical="center" wrapText="1"/>
    </xf>
    <xf numFmtId="0" fontId="53" fillId="0" borderId="41" xfId="0" quotePrefix="1" applyFont="1" applyBorder="1" applyAlignment="1">
      <alignment horizontal="center" vertical="center" wrapText="1"/>
    </xf>
    <xf numFmtId="0" fontId="53" fillId="5" borderId="41" xfId="0" applyFont="1" applyFill="1" applyBorder="1" applyAlignment="1">
      <alignment horizontal="center" vertical="center" wrapText="1"/>
    </xf>
    <xf numFmtId="170" fontId="53" fillId="5" borderId="41" xfId="0" applyNumberFormat="1" applyFont="1" applyFill="1" applyBorder="1" applyAlignment="1">
      <alignment horizontal="center" vertical="center" wrapText="1"/>
    </xf>
    <xf numFmtId="0" fontId="52" fillId="0" borderId="41" xfId="2" applyFont="1" applyBorder="1" applyAlignment="1">
      <alignment vertical="center"/>
    </xf>
    <xf numFmtId="0" fontId="53" fillId="0" borderId="42" xfId="2" applyFont="1" applyBorder="1" applyAlignment="1">
      <alignment horizontal="center" vertical="center"/>
    </xf>
    <xf numFmtId="0" fontId="52" fillId="9" borderId="28" xfId="2" applyFont="1" applyFill="1" applyBorder="1" applyAlignment="1">
      <alignment horizontal="center" vertical="center"/>
    </xf>
    <xf numFmtId="0" fontId="52" fillId="9" borderId="28" xfId="2" applyFont="1" applyFill="1" applyBorder="1" applyAlignment="1">
      <alignment vertical="center"/>
    </xf>
    <xf numFmtId="0" fontId="52" fillId="9" borderId="1" xfId="2" applyFont="1" applyFill="1" applyBorder="1" applyAlignment="1">
      <alignment vertical="center"/>
    </xf>
    <xf numFmtId="0" fontId="24" fillId="0" borderId="73" xfId="2" applyFont="1" applyFill="1" applyBorder="1" applyAlignment="1">
      <alignment horizontal="center" vertical="center"/>
    </xf>
    <xf numFmtId="0" fontId="24" fillId="0" borderId="73" xfId="2" applyFont="1" applyFill="1" applyBorder="1" applyAlignment="1">
      <alignment vertical="center"/>
    </xf>
    <xf numFmtId="0" fontId="25" fillId="0" borderId="73" xfId="0" applyFont="1" applyBorder="1"/>
    <xf numFmtId="0" fontId="57" fillId="0" borderId="24" xfId="2" applyFont="1" applyBorder="1" applyAlignment="1">
      <alignment vertical="center"/>
    </xf>
    <xf numFmtId="0" fontId="57" fillId="0" borderId="33" xfId="2" applyFont="1" applyBorder="1" applyAlignment="1">
      <alignment vertical="center"/>
    </xf>
    <xf numFmtId="0" fontId="52" fillId="0" borderId="28" xfId="2" applyFont="1" applyBorder="1" applyAlignment="1">
      <alignment horizontal="left" vertical="center"/>
    </xf>
    <xf numFmtId="0" fontId="52" fillId="0" borderId="28" xfId="2" applyFont="1" applyBorder="1" applyAlignment="1">
      <alignment horizontal="center" vertical="center"/>
    </xf>
    <xf numFmtId="0" fontId="52" fillId="0" borderId="34" xfId="2" applyFont="1" applyBorder="1" applyAlignment="1">
      <alignment vertical="center"/>
    </xf>
    <xf numFmtId="0" fontId="52" fillId="0" borderId="23" xfId="2" applyFont="1" applyBorder="1" applyAlignment="1">
      <alignment vertical="center"/>
    </xf>
    <xf numFmtId="0" fontId="56" fillId="9" borderId="1" xfId="2" applyFont="1" applyFill="1" applyBorder="1" applyAlignment="1">
      <alignment vertical="center"/>
    </xf>
    <xf numFmtId="0" fontId="52" fillId="9" borderId="27" xfId="2" applyFont="1" applyFill="1" applyBorder="1" applyAlignment="1">
      <alignment horizontal="center" vertical="center" wrapText="1"/>
    </xf>
    <xf numFmtId="0" fontId="52" fillId="0" borderId="23" xfId="2" applyFont="1" applyBorder="1" applyAlignment="1">
      <alignment horizontal="left" vertical="center"/>
    </xf>
    <xf numFmtId="0" fontId="52" fillId="0" borderId="23" xfId="2" applyFont="1" applyBorder="1" applyAlignment="1">
      <alignment horizontal="center" vertical="center"/>
    </xf>
    <xf numFmtId="49" fontId="53" fillId="0" borderId="28" xfId="4" applyNumberFormat="1" applyFont="1" applyBorder="1" applyAlignment="1">
      <alignment horizontal="justify" vertical="center" wrapText="1"/>
    </xf>
    <xf numFmtId="0" fontId="53" fillId="0" borderId="28" xfId="4" applyFont="1" applyBorder="1" applyAlignment="1">
      <alignment horizontal="center" vertical="center" wrapText="1"/>
    </xf>
    <xf numFmtId="4" fontId="53" fillId="0" borderId="28" xfId="4" applyNumberFormat="1" applyFont="1" applyBorder="1" applyAlignment="1">
      <alignment horizontal="right" vertical="center" wrapText="1"/>
    </xf>
    <xf numFmtId="169" fontId="55" fillId="0" borderId="28" xfId="4" applyNumberFormat="1" applyFont="1" applyBorder="1" applyAlignment="1">
      <alignment horizontal="center" vertical="center" wrapText="1"/>
    </xf>
    <xf numFmtId="14" fontId="53" fillId="0" borderId="28" xfId="4" applyNumberFormat="1" applyFont="1" applyBorder="1" applyAlignment="1">
      <alignment horizontal="center" vertical="center" wrapText="1"/>
    </xf>
    <xf numFmtId="0" fontId="53" fillId="0" borderId="0" xfId="0" applyFont="1" applyAlignment="1">
      <alignment vertical="center"/>
    </xf>
    <xf numFmtId="17" fontId="53" fillId="0" borderId="28" xfId="4" applyNumberFormat="1" applyFont="1" applyBorder="1" applyAlignment="1">
      <alignment horizontal="center" vertical="center" wrapText="1"/>
    </xf>
    <xf numFmtId="4" fontId="55" fillId="0" borderId="28" xfId="4" applyNumberFormat="1" applyFont="1" applyBorder="1" applyAlignment="1">
      <alignment horizontal="right" vertical="center"/>
    </xf>
    <xf numFmtId="0" fontId="53" fillId="0" borderId="34" xfId="4" applyFont="1" applyBorder="1" applyAlignment="1">
      <alignment horizontal="center" vertical="center" wrapText="1"/>
    </xf>
    <xf numFmtId="4" fontId="53" fillId="0" borderId="34" xfId="4" applyNumberFormat="1" applyFont="1" applyBorder="1" applyAlignment="1">
      <alignment horizontal="right" vertical="center" wrapText="1"/>
    </xf>
    <xf numFmtId="14" fontId="53" fillId="0" borderId="34" xfId="4" applyNumberFormat="1" applyFont="1" applyBorder="1" applyAlignment="1">
      <alignment horizontal="center" vertical="center" wrapText="1"/>
    </xf>
    <xf numFmtId="49" fontId="53" fillId="0" borderId="23" xfId="4" applyNumberFormat="1" applyFont="1" applyBorder="1" applyAlignment="1">
      <alignment horizontal="justify" vertical="center" wrapText="1"/>
    </xf>
    <xf numFmtId="0" fontId="53" fillId="0" borderId="23" xfId="4" applyFont="1" applyBorder="1" applyAlignment="1">
      <alignment horizontal="center" vertical="center" wrapText="1"/>
    </xf>
    <xf numFmtId="49" fontId="53" fillId="0" borderId="23" xfId="4" applyNumberFormat="1" applyFont="1" applyBorder="1" applyAlignment="1">
      <alignment horizontal="center" vertical="center" wrapText="1"/>
    </xf>
    <xf numFmtId="4" fontId="53" fillId="0" borderId="23" xfId="4" applyNumberFormat="1" applyFont="1" applyBorder="1" applyAlignment="1">
      <alignment horizontal="right" vertical="center" wrapText="1"/>
    </xf>
    <xf numFmtId="49" fontId="53" fillId="0" borderId="28" xfId="4" applyNumberFormat="1" applyFont="1" applyBorder="1" applyAlignment="1">
      <alignment horizontal="center" vertical="center" wrapText="1"/>
    </xf>
    <xf numFmtId="49" fontId="53" fillId="0" borderId="34" xfId="4" applyNumberFormat="1" applyFont="1" applyBorder="1" applyAlignment="1">
      <alignment horizontal="justify" vertical="center" wrapText="1"/>
    </xf>
    <xf numFmtId="0" fontId="52" fillId="0" borderId="34" xfId="2" applyFont="1" applyBorder="1" applyAlignment="1">
      <alignment horizontal="left" vertical="center"/>
    </xf>
    <xf numFmtId="0" fontId="52" fillId="0" borderId="34" xfId="2" applyFont="1" applyBorder="1" applyAlignment="1">
      <alignment horizontal="center" vertical="center"/>
    </xf>
    <xf numFmtId="4" fontId="52" fillId="9" borderId="28" xfId="2" applyNumberFormat="1" applyFont="1" applyFill="1" applyBorder="1" applyAlignment="1">
      <alignment horizontal="right" vertical="center"/>
    </xf>
    <xf numFmtId="0" fontId="56" fillId="9" borderId="24" xfId="2" applyFont="1" applyFill="1" applyBorder="1" applyAlignment="1">
      <alignment vertical="center"/>
    </xf>
    <xf numFmtId="0" fontId="52" fillId="9" borderId="42" xfId="2" applyFont="1" applyFill="1" applyBorder="1" applyAlignment="1">
      <alignment horizontal="center" vertical="center" wrapText="1"/>
    </xf>
    <xf numFmtId="0" fontId="53" fillId="0" borderId="28" xfId="2" applyFont="1" applyBorder="1" applyAlignment="1">
      <alignment horizontal="left" vertical="center" wrapText="1"/>
    </xf>
    <xf numFmtId="0" fontId="53" fillId="0" borderId="28" xfId="0" applyFont="1" applyBorder="1" applyAlignment="1">
      <alignment wrapText="1"/>
    </xf>
    <xf numFmtId="0" fontId="53" fillId="0" borderId="28" xfId="2" applyFont="1" applyBorder="1" applyAlignment="1">
      <alignment horizontal="left" vertical="center"/>
    </xf>
    <xf numFmtId="4" fontId="53" fillId="0" borderId="28" xfId="2" applyNumberFormat="1" applyFont="1" applyBorder="1" applyAlignment="1">
      <alignment vertical="center"/>
    </xf>
    <xf numFmtId="0" fontId="53" fillId="0" borderId="28" xfId="2" applyFont="1" applyBorder="1" applyAlignment="1">
      <alignment vertical="center"/>
    </xf>
    <xf numFmtId="14" fontId="53" fillId="0" borderId="28" xfId="2" applyNumberFormat="1" applyFont="1" applyBorder="1" applyAlignment="1">
      <alignment horizontal="center" vertical="center"/>
    </xf>
    <xf numFmtId="49" fontId="25" fillId="0" borderId="28" xfId="1" applyNumberFormat="1" applyFont="1" applyFill="1" applyBorder="1" applyAlignment="1">
      <alignment horizontal="left" vertical="center"/>
    </xf>
    <xf numFmtId="0" fontId="25" fillId="0" borderId="28" xfId="0" applyFont="1" applyBorder="1"/>
    <xf numFmtId="0" fontId="53" fillId="0" borderId="28" xfId="2" applyFont="1" applyBorder="1" applyAlignment="1">
      <alignment vertical="center" wrapText="1"/>
    </xf>
    <xf numFmtId="0" fontId="25" fillId="0" borderId="28" xfId="0" applyFont="1" applyBorder="1" applyAlignment="1">
      <alignment wrapText="1"/>
    </xf>
    <xf numFmtId="171" fontId="53" fillId="0" borderId="28" xfId="17" applyFont="1" applyFill="1" applyBorder="1" applyAlignment="1">
      <alignment horizontal="left" vertical="center"/>
    </xf>
    <xf numFmtId="0" fontId="58" fillId="0" borderId="28" xfId="0" applyFont="1" applyBorder="1"/>
    <xf numFmtId="14" fontId="53" fillId="0" borderId="28" xfId="2" applyNumberFormat="1" applyFont="1" applyBorder="1" applyAlignment="1">
      <alignment vertical="center"/>
    </xf>
    <xf numFmtId="4" fontId="46" fillId="0" borderId="28" xfId="17" applyNumberFormat="1" applyFont="1" applyBorder="1" applyAlignment="1">
      <alignment wrapText="1"/>
    </xf>
    <xf numFmtId="4" fontId="53" fillId="0" borderId="28" xfId="2" applyNumberFormat="1" applyFont="1" applyBorder="1" applyAlignment="1">
      <alignment horizontal="left" vertical="center" wrapText="1"/>
    </xf>
    <xf numFmtId="0" fontId="53" fillId="0" borderId="41" xfId="2" applyFont="1" applyBorder="1" applyAlignment="1">
      <alignment horizontal="left" vertical="center" wrapText="1"/>
    </xf>
    <xf numFmtId="0" fontId="53" fillId="0" borderId="41" xfId="2" applyFont="1" applyBorder="1" applyAlignment="1">
      <alignment horizontal="center" vertical="center"/>
    </xf>
    <xf numFmtId="0" fontId="53" fillId="0" borderId="41" xfId="2" applyFont="1" applyBorder="1" applyAlignment="1">
      <alignment horizontal="left" vertical="center"/>
    </xf>
    <xf numFmtId="0" fontId="53" fillId="0" borderId="41" xfId="2" applyFont="1" applyBorder="1" applyAlignment="1">
      <alignment vertical="center" wrapText="1"/>
    </xf>
    <xf numFmtId="14" fontId="53" fillId="0" borderId="41" xfId="2" applyNumberFormat="1" applyFont="1" applyBorder="1" applyAlignment="1">
      <alignment vertical="center"/>
    </xf>
    <xf numFmtId="0" fontId="53" fillId="0" borderId="41" xfId="2" applyFont="1" applyBorder="1" applyAlignment="1">
      <alignment vertical="center"/>
    </xf>
    <xf numFmtId="4" fontId="53" fillId="0" borderId="28" xfId="2" applyNumberFormat="1" applyFont="1" applyBorder="1" applyAlignment="1">
      <alignment vertical="center" wrapText="1"/>
    </xf>
    <xf numFmtId="4" fontId="52" fillId="9" borderId="41" xfId="2" applyNumberFormat="1" applyFont="1" applyFill="1" applyBorder="1" applyAlignment="1">
      <alignment horizontal="center" vertical="center" wrapText="1"/>
    </xf>
    <xf numFmtId="171" fontId="52" fillId="9" borderId="41" xfId="2" applyNumberFormat="1" applyFont="1" applyFill="1" applyBorder="1" applyAlignment="1">
      <alignment horizontal="center" vertical="center" wrapText="1"/>
    </xf>
    <xf numFmtId="4" fontId="52" fillId="9" borderId="0" xfId="2" applyNumberFormat="1" applyFont="1" applyFill="1" applyBorder="1" applyAlignment="1">
      <alignment horizontal="center" vertical="center" wrapText="1"/>
    </xf>
    <xf numFmtId="4" fontId="52" fillId="9" borderId="72" xfId="2" applyNumberFormat="1" applyFont="1" applyFill="1" applyBorder="1" applyAlignment="1">
      <alignment horizontal="center" vertical="center" wrapText="1"/>
    </xf>
    <xf numFmtId="168" fontId="52" fillId="9" borderId="0" xfId="2" applyNumberFormat="1" applyFont="1" applyFill="1" applyBorder="1" applyAlignment="1">
      <alignment horizontal="center" vertical="center" wrapText="1"/>
    </xf>
    <xf numFmtId="173" fontId="52" fillId="9" borderId="0" xfId="2" applyNumberFormat="1" applyFont="1" applyFill="1" applyBorder="1" applyAlignment="1">
      <alignment horizontal="center" vertical="center" wrapText="1"/>
    </xf>
    <xf numFmtId="0" fontId="52" fillId="0" borderId="73" xfId="2" applyFont="1" applyFill="1" applyBorder="1" applyAlignment="1">
      <alignment horizontal="center" vertical="center"/>
    </xf>
    <xf numFmtId="173" fontId="52" fillId="9" borderId="72" xfId="2" applyNumberFormat="1" applyFont="1" applyFill="1" applyBorder="1" applyAlignment="1">
      <alignment horizontal="center" vertical="center" wrapText="1"/>
    </xf>
    <xf numFmtId="0" fontId="52" fillId="9" borderId="1" xfId="0" applyFont="1" applyFill="1" applyBorder="1" applyAlignment="1">
      <alignment vertical="center"/>
    </xf>
    <xf numFmtId="0" fontId="52" fillId="9" borderId="72" xfId="0" applyFont="1" applyFill="1" applyBorder="1" applyAlignment="1">
      <alignment vertical="center"/>
    </xf>
    <xf numFmtId="0" fontId="52" fillId="9" borderId="27" xfId="0" applyFont="1" applyFill="1" applyBorder="1" applyAlignment="1">
      <alignment vertical="center"/>
    </xf>
    <xf numFmtId="173" fontId="52" fillId="9" borderId="72" xfId="0" applyNumberFormat="1" applyFont="1" applyFill="1" applyBorder="1" applyAlignment="1">
      <alignment vertical="center"/>
    </xf>
    <xf numFmtId="164" fontId="54" fillId="11" borderId="28" xfId="9" applyFont="1" applyFill="1" applyBorder="1" applyAlignment="1">
      <alignment horizontal="justify" vertical="center" wrapText="1"/>
    </xf>
    <xf numFmtId="49" fontId="25" fillId="0" borderId="73" xfId="1" applyNumberFormat="1" applyFont="1" applyFill="1" applyBorder="1" applyAlignment="1">
      <alignment horizontal="left" vertical="center"/>
    </xf>
    <xf numFmtId="49" fontId="25" fillId="0" borderId="0" xfId="1" applyNumberFormat="1" applyFont="1" applyFill="1" applyBorder="1" applyAlignment="1">
      <alignment horizontal="left" vertical="center"/>
    </xf>
    <xf numFmtId="164" fontId="54" fillId="11" borderId="73" xfId="9" applyFont="1" applyFill="1" applyBorder="1" applyAlignment="1">
      <alignment horizontal="justify" vertical="center" wrapText="1"/>
    </xf>
    <xf numFmtId="49" fontId="53" fillId="5" borderId="73" xfId="9" applyNumberFormat="1" applyFont="1" applyFill="1" applyBorder="1" applyAlignment="1">
      <alignment horizontal="center" vertical="center" wrapText="1"/>
    </xf>
    <xf numFmtId="164" fontId="53" fillId="0" borderId="73" xfId="9" applyFont="1" applyBorder="1" applyAlignment="1">
      <alignment horizontal="center" vertical="center" wrapText="1"/>
    </xf>
    <xf numFmtId="43" fontId="53" fillId="0" borderId="73" xfId="8" applyFont="1" applyFill="1" applyBorder="1" applyAlignment="1">
      <alignment horizontal="center" vertical="center" wrapText="1"/>
    </xf>
    <xf numFmtId="49" fontId="53" fillId="0" borderId="73" xfId="9" applyNumberFormat="1" applyFont="1" applyBorder="1" applyAlignment="1">
      <alignment horizontal="center" vertical="center" wrapText="1"/>
    </xf>
    <xf numFmtId="0" fontId="53" fillId="0" borderId="29" xfId="0" quotePrefix="1" applyFont="1" applyBorder="1" applyAlignment="1">
      <alignment horizontal="center" vertical="center" wrapText="1"/>
    </xf>
    <xf numFmtId="0" fontId="24" fillId="7" borderId="20" xfId="2" applyFont="1" applyFill="1" applyBorder="1" applyAlignment="1">
      <alignment horizontal="center" vertical="center" wrapText="1"/>
    </xf>
    <xf numFmtId="164" fontId="54" fillId="11" borderId="27" xfId="9" applyFont="1" applyFill="1" applyBorder="1" applyAlignment="1">
      <alignment vertical="center" wrapText="1"/>
    </xf>
    <xf numFmtId="164" fontId="54" fillId="0" borderId="27" xfId="9" applyFont="1" applyBorder="1" applyAlignment="1">
      <alignment vertical="center" wrapText="1"/>
    </xf>
    <xf numFmtId="164" fontId="53" fillId="0" borderId="27" xfId="9" applyFont="1" applyBorder="1" applyAlignment="1">
      <alignment horizontal="center" vertical="center" wrapText="1"/>
    </xf>
    <xf numFmtId="0" fontId="53" fillId="0" borderId="27" xfId="2" applyFont="1" applyBorder="1" applyAlignment="1">
      <alignment horizontal="center" vertical="center" wrapText="1"/>
    </xf>
    <xf numFmtId="0" fontId="54" fillId="12" borderId="1" xfId="8" applyNumberFormat="1" applyFont="1" applyFill="1" applyBorder="1" applyAlignment="1">
      <alignment horizontal="center" vertical="center" wrapText="1"/>
    </xf>
    <xf numFmtId="0" fontId="54" fillId="0" borderId="1" xfId="8" applyNumberFormat="1" applyFont="1" applyFill="1" applyBorder="1" applyAlignment="1">
      <alignment horizontal="center" vertical="center" wrapText="1"/>
    </xf>
    <xf numFmtId="0" fontId="53" fillId="0" borderId="125" xfId="8" applyNumberFormat="1" applyFont="1" applyFill="1" applyBorder="1" applyAlignment="1">
      <alignment horizontal="center" vertical="center" wrapText="1"/>
    </xf>
    <xf numFmtId="0" fontId="53" fillId="0" borderId="1" xfId="8" applyNumberFormat="1" applyFont="1" applyFill="1" applyBorder="1" applyAlignment="1">
      <alignment horizontal="center" vertical="center" wrapText="1"/>
    </xf>
    <xf numFmtId="0" fontId="53" fillId="0" borderId="24" xfId="8" applyNumberFormat="1" applyFont="1" applyFill="1" applyBorder="1" applyAlignment="1">
      <alignment horizontal="center" vertical="center" wrapText="1"/>
    </xf>
    <xf numFmtId="0" fontId="53" fillId="5" borderId="1" xfId="8" applyNumberFormat="1" applyFont="1" applyFill="1" applyBorder="1" applyAlignment="1">
      <alignment horizontal="center" vertical="center" wrapText="1"/>
    </xf>
    <xf numFmtId="43" fontId="53" fillId="0" borderId="27" xfId="8" applyFont="1" applyFill="1" applyBorder="1" applyAlignment="1">
      <alignment horizontal="left" vertical="center" wrapText="1"/>
    </xf>
    <xf numFmtId="43" fontId="53" fillId="0" borderId="123" xfId="8" applyFont="1" applyFill="1" applyBorder="1" applyAlignment="1">
      <alignment horizontal="left" vertical="center" wrapText="1"/>
    </xf>
    <xf numFmtId="164" fontId="53" fillId="0" borderId="27" xfId="9" applyFont="1" applyBorder="1" applyAlignment="1">
      <alignment horizontal="left" vertical="center" wrapText="1"/>
    </xf>
    <xf numFmtId="49" fontId="53" fillId="0" borderId="28" xfId="0" applyNumberFormat="1" applyFont="1" applyFill="1" applyBorder="1" applyAlignment="1">
      <alignment horizontal="center" vertical="center" wrapText="1"/>
    </xf>
    <xf numFmtId="0" fontId="53" fillId="0" borderId="28" xfId="0" applyFont="1" applyFill="1" applyBorder="1" applyAlignment="1">
      <alignment horizontal="center" vertical="center" wrapText="1"/>
    </xf>
    <xf numFmtId="43" fontId="53" fillId="0" borderId="28" xfId="5" applyFont="1" applyFill="1" applyBorder="1" applyAlignment="1">
      <alignment horizontal="right" vertical="center" wrapText="1"/>
    </xf>
    <xf numFmtId="14" fontId="53" fillId="0" borderId="28" xfId="0" applyNumberFormat="1" applyFont="1" applyFill="1" applyBorder="1" applyAlignment="1">
      <alignment horizontal="center" vertical="center" wrapText="1"/>
    </xf>
    <xf numFmtId="43" fontId="54" fillId="12" borderId="28" xfId="5" applyFont="1" applyFill="1" applyBorder="1" applyAlignment="1">
      <alignment horizontal="right" vertical="center" wrapText="1"/>
    </xf>
    <xf numFmtId="0" fontId="54" fillId="0" borderId="28" xfId="0" applyFont="1" applyFill="1" applyBorder="1" applyAlignment="1">
      <alignment horizontal="center" vertical="center" wrapText="1"/>
    </xf>
    <xf numFmtId="43" fontId="54" fillId="12" borderId="28" xfId="5" applyFont="1" applyFill="1" applyBorder="1" applyAlignment="1">
      <alignment horizontal="center" vertical="center" wrapText="1"/>
    </xf>
    <xf numFmtId="43" fontId="53" fillId="0" borderId="28" xfId="5" applyFont="1" applyFill="1" applyBorder="1" applyAlignment="1">
      <alignment horizontal="center" vertical="center" wrapText="1"/>
    </xf>
    <xf numFmtId="43" fontId="55" fillId="0" borderId="28" xfId="5" applyFont="1" applyBorder="1" applyAlignment="1">
      <alignment horizontal="center" vertical="center"/>
    </xf>
    <xf numFmtId="14" fontId="55" fillId="0" borderId="28" xfId="0" applyNumberFormat="1" applyFont="1" applyBorder="1" applyAlignment="1">
      <alignment horizontal="center" vertical="center"/>
    </xf>
    <xf numFmtId="49" fontId="53" fillId="0" borderId="28" xfId="0" applyNumberFormat="1" applyFont="1" applyFill="1" applyBorder="1" applyAlignment="1">
      <alignment horizontal="justify" vertical="center" wrapText="1"/>
    </xf>
    <xf numFmtId="0" fontId="54" fillId="0" borderId="28" xfId="0" applyFont="1" applyFill="1" applyBorder="1" applyAlignment="1">
      <alignment horizontal="justify" vertical="center" wrapText="1"/>
    </xf>
    <xf numFmtId="49" fontId="53" fillId="0" borderId="24" xfId="0" applyNumberFormat="1" applyFont="1" applyFill="1" applyBorder="1" applyAlignment="1">
      <alignment horizontal="justify" vertical="center" wrapText="1"/>
    </xf>
    <xf numFmtId="0" fontId="53" fillId="0" borderId="41" xfId="0" applyFont="1" applyFill="1" applyBorder="1" applyAlignment="1">
      <alignment horizontal="center" vertical="center" wrapText="1"/>
    </xf>
    <xf numFmtId="43" fontId="55" fillId="0" borderId="41" xfId="5" applyFont="1" applyBorder="1" applyAlignment="1">
      <alignment horizontal="center" vertical="center"/>
    </xf>
    <xf numFmtId="14" fontId="55" fillId="0" borderId="41" xfId="0" applyNumberFormat="1" applyFont="1" applyBorder="1" applyAlignment="1">
      <alignment horizontal="center" vertical="center"/>
    </xf>
    <xf numFmtId="0" fontId="53" fillId="0" borderId="42" xfId="0" applyFont="1" applyFill="1" applyBorder="1" applyAlignment="1">
      <alignment horizontal="center" vertical="center" wrapText="1"/>
    </xf>
    <xf numFmtId="0" fontId="50" fillId="0" borderId="29" xfId="2" applyFont="1" applyBorder="1" applyAlignment="1">
      <alignment vertical="center"/>
    </xf>
    <xf numFmtId="164" fontId="54" fillId="0" borderId="73" xfId="9" applyFont="1" applyBorder="1" applyAlignment="1">
      <alignment horizontal="justify" vertical="center" wrapText="1"/>
    </xf>
    <xf numFmtId="164" fontId="54" fillId="0" borderId="73" xfId="9" applyFont="1" applyBorder="1" applyAlignment="1">
      <alignment horizontal="center" vertical="center" wrapText="1"/>
    </xf>
    <xf numFmtId="164" fontId="54" fillId="0" borderId="73" xfId="9" applyFont="1" applyBorder="1" applyAlignment="1">
      <alignment vertical="center" wrapText="1"/>
    </xf>
    <xf numFmtId="164" fontId="54" fillId="0" borderId="0" xfId="9" applyFont="1" applyBorder="1" applyAlignment="1">
      <alignment horizontal="center" vertical="center" wrapText="1"/>
    </xf>
    <xf numFmtId="164" fontId="53" fillId="0" borderId="0" xfId="9" applyFont="1" applyBorder="1" applyAlignment="1">
      <alignment horizontal="center" vertical="center" wrapText="1"/>
    </xf>
    <xf numFmtId="164" fontId="54" fillId="0" borderId="0" xfId="9" applyFont="1" applyBorder="1" applyAlignment="1">
      <alignment vertical="center" wrapText="1"/>
    </xf>
    <xf numFmtId="0" fontId="50" fillId="0" borderId="86" xfId="2" applyFont="1" applyBorder="1" applyAlignment="1">
      <alignment vertical="center"/>
    </xf>
    <xf numFmtId="43" fontId="52" fillId="9" borderId="72" xfId="2" applyNumberFormat="1" applyFont="1" applyFill="1" applyBorder="1" applyAlignment="1">
      <alignment horizontal="center" vertical="center" wrapText="1"/>
    </xf>
    <xf numFmtId="0" fontId="50" fillId="0" borderId="24" xfId="2" applyFont="1" applyBorder="1" applyAlignment="1">
      <alignment vertical="center"/>
    </xf>
    <xf numFmtId="0" fontId="50" fillId="0" borderId="0" xfId="2" applyFont="1" applyFill="1" applyAlignment="1">
      <alignment vertical="center"/>
    </xf>
    <xf numFmtId="0" fontId="59" fillId="0" borderId="0" xfId="2" applyFont="1" applyFill="1" applyAlignment="1">
      <alignment vertical="center"/>
    </xf>
    <xf numFmtId="0" fontId="60" fillId="0" borderId="0" xfId="0" applyFont="1" applyFill="1" applyBorder="1"/>
    <xf numFmtId="0" fontId="60" fillId="0" borderId="0" xfId="0" applyFont="1" applyFill="1"/>
    <xf numFmtId="0" fontId="50" fillId="5" borderId="0" xfId="0" applyFont="1" applyFill="1"/>
    <xf numFmtId="0" fontId="59" fillId="5" borderId="0" xfId="0" applyFont="1" applyFill="1"/>
    <xf numFmtId="0" fontId="59" fillId="5" borderId="0" xfId="0" applyFont="1" applyFill="1" applyBorder="1"/>
    <xf numFmtId="0" fontId="52" fillId="0" borderId="0" xfId="2" applyFont="1" applyAlignment="1">
      <alignment vertical="center"/>
    </xf>
    <xf numFmtId="0" fontId="53" fillId="0" borderId="0" xfId="2" applyFont="1" applyAlignment="1">
      <alignment vertical="center"/>
    </xf>
    <xf numFmtId="0" fontId="52" fillId="0" borderId="0" xfId="2" applyFont="1" applyFill="1" applyBorder="1" applyAlignment="1">
      <alignment horizontal="center" vertical="center"/>
    </xf>
    <xf numFmtId="0" fontId="53" fillId="5" borderId="0" xfId="0" applyFont="1" applyFill="1" applyBorder="1"/>
    <xf numFmtId="0" fontId="38" fillId="7" borderId="61" xfId="2" applyFont="1" applyFill="1" applyBorder="1" applyAlignment="1">
      <alignment horizontal="center" vertical="center"/>
    </xf>
    <xf numFmtId="0" fontId="38" fillId="5" borderId="0" xfId="2" applyFont="1" applyFill="1" applyBorder="1" applyAlignment="1">
      <alignment horizontal="center" vertical="center"/>
    </xf>
    <xf numFmtId="0" fontId="38" fillId="7" borderId="44" xfId="2" applyFont="1" applyFill="1" applyBorder="1" applyAlignment="1">
      <alignment horizontal="center" vertical="center" wrapText="1"/>
    </xf>
    <xf numFmtId="0" fontId="37" fillId="7" borderId="27" xfId="2" applyFont="1" applyFill="1" applyBorder="1" applyAlignment="1">
      <alignment horizontal="center" vertical="center" textRotation="90" wrapText="1"/>
    </xf>
    <xf numFmtId="0" fontId="37" fillId="7" borderId="28" xfId="2" applyFont="1" applyFill="1" applyBorder="1" applyAlignment="1">
      <alignment horizontal="center" vertical="center" textRotation="90" wrapText="1"/>
    </xf>
    <xf numFmtId="0" fontId="38" fillId="7" borderId="28" xfId="2" applyFont="1" applyFill="1" applyBorder="1" applyAlignment="1">
      <alignment horizontal="center" vertical="center" textRotation="90" wrapText="1"/>
    </xf>
    <xf numFmtId="0" fontId="38" fillId="7" borderId="1" xfId="2" applyFont="1" applyFill="1" applyBorder="1" applyAlignment="1">
      <alignment horizontal="center" vertical="center" textRotation="90" wrapText="1"/>
    </xf>
    <xf numFmtId="0" fontId="38" fillId="7" borderId="29" xfId="2" applyFont="1" applyFill="1" applyBorder="1" applyAlignment="1">
      <alignment horizontal="center" vertical="center" textRotation="90" wrapText="1"/>
    </xf>
    <xf numFmtId="0" fontId="38" fillId="5" borderId="0" xfId="2" applyFont="1" applyFill="1" applyBorder="1" applyAlignment="1">
      <alignment horizontal="center" vertical="center" textRotation="90" wrapText="1"/>
    </xf>
    <xf numFmtId="0" fontId="37" fillId="0" borderId="0" xfId="0" applyFont="1" applyAlignment="1">
      <alignment wrapText="1"/>
    </xf>
    <xf numFmtId="0" fontId="53" fillId="0" borderId="14" xfId="2" applyFont="1" applyBorder="1" applyAlignment="1">
      <alignment horizontal="center" vertical="center"/>
    </xf>
    <xf numFmtId="0" fontId="53" fillId="0" borderId="0" xfId="2" applyFont="1" applyBorder="1" applyAlignment="1">
      <alignment vertical="center"/>
    </xf>
    <xf numFmtId="0" fontId="53" fillId="0" borderId="4" xfId="2" applyFont="1" applyBorder="1" applyAlignment="1">
      <alignment vertical="center"/>
    </xf>
    <xf numFmtId="0" fontId="52" fillId="2" borderId="14" xfId="2" applyFont="1" applyFill="1" applyBorder="1" applyAlignment="1">
      <alignment horizontal="center" vertical="center"/>
    </xf>
    <xf numFmtId="0" fontId="52" fillId="2" borderId="0" xfId="2" applyFont="1" applyFill="1" applyBorder="1" applyAlignment="1">
      <alignment vertical="center"/>
    </xf>
    <xf numFmtId="0" fontId="52" fillId="5" borderId="0" xfId="2" applyFont="1" applyFill="1" applyBorder="1" applyAlignment="1">
      <alignment vertical="center"/>
    </xf>
    <xf numFmtId="0" fontId="38" fillId="0" borderId="14" xfId="2" applyFont="1" applyBorder="1" applyAlignment="1">
      <alignment vertical="center"/>
    </xf>
    <xf numFmtId="0" fontId="52" fillId="2" borderId="5" xfId="2" applyFont="1" applyFill="1" applyBorder="1" applyAlignment="1">
      <alignment horizontal="center" vertical="center"/>
    </xf>
    <xf numFmtId="0" fontId="53" fillId="0" borderId="0" xfId="2" applyFont="1" applyFill="1" applyBorder="1" applyAlignment="1">
      <alignment horizontal="left" vertical="center"/>
    </xf>
    <xf numFmtId="0" fontId="52" fillId="0" borderId="0" xfId="2" applyFont="1" applyFill="1" applyBorder="1" applyAlignment="1">
      <alignment vertical="center"/>
    </xf>
    <xf numFmtId="0" fontId="53" fillId="0" borderId="0" xfId="0" applyFont="1" applyFill="1" applyBorder="1"/>
    <xf numFmtId="4" fontId="53" fillId="0" borderId="0" xfId="2" applyNumberFormat="1" applyFont="1" applyBorder="1" applyAlignment="1">
      <alignment vertical="center"/>
    </xf>
    <xf numFmtId="0" fontId="53" fillId="0" borderId="0" xfId="2" applyFont="1" applyFill="1" applyBorder="1" applyAlignment="1">
      <alignment vertical="center"/>
    </xf>
    <xf numFmtId="164" fontId="53" fillId="0" borderId="14" xfId="9" applyFont="1" applyFill="1" applyBorder="1" applyAlignment="1">
      <alignment horizontal="center"/>
    </xf>
    <xf numFmtId="165" fontId="53" fillId="0" borderId="4" xfId="5" applyNumberFormat="1" applyFont="1" applyBorder="1" applyAlignment="1">
      <alignment vertical="center"/>
    </xf>
    <xf numFmtId="165" fontId="52" fillId="2" borderId="4" xfId="5" applyNumberFormat="1" applyFont="1" applyFill="1" applyBorder="1" applyAlignment="1">
      <alignment vertical="center"/>
    </xf>
    <xf numFmtId="165" fontId="52" fillId="2" borderId="18" xfId="5" applyNumberFormat="1" applyFont="1" applyFill="1" applyBorder="1" applyAlignment="1">
      <alignment vertical="center"/>
    </xf>
    <xf numFmtId="165" fontId="52" fillId="2" borderId="0" xfId="5" applyNumberFormat="1" applyFont="1" applyFill="1" applyBorder="1" applyAlignment="1">
      <alignment vertical="center"/>
    </xf>
    <xf numFmtId="165" fontId="53" fillId="0" borderId="0" xfId="5" applyNumberFormat="1" applyFont="1" applyBorder="1" applyAlignment="1">
      <alignment vertical="center"/>
    </xf>
    <xf numFmtId="165" fontId="52" fillId="2" borderId="20" xfId="5" applyNumberFormat="1" applyFont="1" applyFill="1" applyBorder="1" applyAlignment="1">
      <alignment vertical="center"/>
    </xf>
    <xf numFmtId="0" fontId="53" fillId="0" borderId="74" xfId="2" applyFont="1" applyBorder="1" applyAlignment="1">
      <alignment horizontal="center" vertical="center"/>
    </xf>
    <xf numFmtId="165" fontId="53" fillId="0" borderId="75" xfId="5" applyNumberFormat="1" applyFont="1" applyBorder="1" applyAlignment="1">
      <alignment vertical="center"/>
    </xf>
    <xf numFmtId="165" fontId="53" fillId="0" borderId="76" xfId="5" applyNumberFormat="1" applyFont="1" applyBorder="1" applyAlignment="1">
      <alignment vertical="center"/>
    </xf>
    <xf numFmtId="0" fontId="53" fillId="0" borderId="77" xfId="2" applyFont="1" applyBorder="1" applyAlignment="1">
      <alignment horizontal="center" vertical="center"/>
    </xf>
    <xf numFmtId="165" fontId="53" fillId="0" borderId="78" xfId="5" applyNumberFormat="1" applyFont="1" applyBorder="1" applyAlignment="1">
      <alignment vertical="center"/>
    </xf>
    <xf numFmtId="165" fontId="53" fillId="0" borderId="79" xfId="5" applyNumberFormat="1" applyFont="1" applyBorder="1" applyAlignment="1">
      <alignment vertical="center"/>
    </xf>
    <xf numFmtId="0" fontId="53" fillId="0" borderId="75" xfId="2" applyFont="1" applyBorder="1" applyAlignment="1">
      <alignment vertical="center"/>
    </xf>
    <xf numFmtId="4" fontId="53" fillId="0" borderId="75" xfId="2" applyNumberFormat="1" applyFont="1" applyBorder="1" applyAlignment="1">
      <alignment vertical="center"/>
    </xf>
    <xf numFmtId="0" fontId="53" fillId="0" borderId="78" xfId="2" applyFont="1" applyBorder="1" applyAlignment="1">
      <alignment vertical="center"/>
    </xf>
    <xf numFmtId="4" fontId="53" fillId="0" borderId="78" xfId="2" applyNumberFormat="1" applyFont="1" applyBorder="1" applyAlignment="1">
      <alignment vertical="center"/>
    </xf>
    <xf numFmtId="164" fontId="53" fillId="0" borderId="74" xfId="9" applyFont="1" applyFill="1" applyBorder="1" applyAlignment="1">
      <alignment horizontal="center"/>
    </xf>
    <xf numFmtId="0" fontId="53" fillId="0" borderId="75" xfId="2" applyFont="1" applyFill="1" applyBorder="1" applyAlignment="1">
      <alignment vertical="center"/>
    </xf>
    <xf numFmtId="0" fontId="52" fillId="13" borderId="5" xfId="2" applyFont="1" applyFill="1" applyBorder="1" applyAlignment="1">
      <alignment horizontal="center" vertical="center"/>
    </xf>
    <xf numFmtId="0" fontId="52" fillId="13" borderId="20" xfId="2" applyFont="1" applyFill="1" applyBorder="1" applyAlignment="1">
      <alignment vertical="center"/>
    </xf>
    <xf numFmtId="0" fontId="53" fillId="0" borderId="6" xfId="2" applyFont="1" applyBorder="1" applyAlignment="1">
      <alignment vertical="center"/>
    </xf>
    <xf numFmtId="0" fontId="53" fillId="0" borderId="45" xfId="2" applyFont="1" applyBorder="1" applyAlignment="1">
      <alignment vertical="center"/>
    </xf>
    <xf numFmtId="0" fontId="53" fillId="0" borderId="21" xfId="2" applyFont="1" applyBorder="1" applyAlignment="1">
      <alignment vertical="center"/>
    </xf>
    <xf numFmtId="0" fontId="53" fillId="0" borderId="86" xfId="2" applyFont="1" applyBorder="1" applyAlignment="1">
      <alignment vertical="center"/>
    </xf>
    <xf numFmtId="165" fontId="52" fillId="2" borderId="3" xfId="5" applyNumberFormat="1" applyFont="1" applyFill="1" applyBorder="1" applyAlignment="1">
      <alignment vertical="center"/>
    </xf>
    <xf numFmtId="165" fontId="52" fillId="2" borderId="53" xfId="5" applyNumberFormat="1" applyFont="1" applyFill="1" applyBorder="1" applyAlignment="1">
      <alignment vertical="center"/>
    </xf>
    <xf numFmtId="165" fontId="53" fillId="0" borderId="109" xfId="5" applyNumberFormat="1" applyFont="1" applyBorder="1" applyAlignment="1">
      <alignment vertical="center"/>
    </xf>
    <xf numFmtId="165" fontId="52" fillId="0" borderId="75" xfId="5" applyNumberFormat="1" applyFont="1" applyBorder="1" applyAlignment="1">
      <alignment vertical="center"/>
    </xf>
    <xf numFmtId="165" fontId="53" fillId="0" borderId="76" xfId="5" applyNumberFormat="1" applyFont="1" applyBorder="1"/>
    <xf numFmtId="165" fontId="53" fillId="0" borderId="104" xfId="5" applyNumberFormat="1" applyFont="1" applyBorder="1"/>
    <xf numFmtId="165" fontId="53" fillId="0" borderId="92" xfId="5" applyNumberFormat="1" applyFont="1" applyBorder="1" applyAlignment="1">
      <alignment vertical="center"/>
    </xf>
    <xf numFmtId="165" fontId="52" fillId="0" borderId="78" xfId="5" applyNumberFormat="1" applyFont="1" applyBorder="1" applyAlignment="1">
      <alignment vertical="center"/>
    </xf>
    <xf numFmtId="165" fontId="53" fillId="0" borderId="107" xfId="5" applyNumberFormat="1" applyFont="1" applyBorder="1" applyAlignment="1">
      <alignment vertical="center"/>
    </xf>
    <xf numFmtId="165" fontId="53" fillId="0" borderId="3" xfId="5" applyNumberFormat="1" applyFont="1" applyBorder="1" applyAlignment="1">
      <alignment vertical="center"/>
    </xf>
    <xf numFmtId="165" fontId="53" fillId="0" borderId="53" xfId="5" applyNumberFormat="1" applyFont="1" applyBorder="1" applyAlignment="1">
      <alignment vertical="center"/>
    </xf>
    <xf numFmtId="165" fontId="53" fillId="0" borderId="104" xfId="5" applyNumberFormat="1" applyFont="1" applyBorder="1" applyAlignment="1">
      <alignment vertical="center"/>
    </xf>
    <xf numFmtId="165" fontId="52" fillId="2" borderId="19" xfId="5" applyNumberFormat="1" applyFont="1" applyFill="1" applyBorder="1" applyAlignment="1">
      <alignment vertical="center"/>
    </xf>
    <xf numFmtId="4" fontId="53" fillId="0" borderId="0" xfId="2" applyNumberFormat="1" applyFont="1" applyFill="1" applyBorder="1" applyAlignment="1">
      <alignment vertical="center"/>
    </xf>
    <xf numFmtId="4" fontId="53" fillId="0" borderId="0" xfId="0" applyNumberFormat="1" applyFont="1"/>
    <xf numFmtId="4" fontId="52" fillId="0" borderId="0" xfId="2" applyNumberFormat="1" applyFont="1" applyFill="1" applyBorder="1" applyAlignment="1">
      <alignment vertical="center"/>
    </xf>
    <xf numFmtId="0" fontId="52" fillId="0" borderId="0" xfId="2" applyFont="1" applyFill="1" applyAlignment="1">
      <alignment vertical="center"/>
    </xf>
    <xf numFmtId="0" fontId="52" fillId="5" borderId="0" xfId="0" applyFont="1" applyFill="1"/>
    <xf numFmtId="0" fontId="52" fillId="7" borderId="61" xfId="2" applyFont="1" applyFill="1" applyBorder="1" applyAlignment="1">
      <alignment horizontal="center" vertical="center"/>
    </xf>
    <xf numFmtId="0" fontId="52" fillId="7" borderId="44" xfId="2" applyFont="1" applyFill="1" applyBorder="1" applyAlignment="1">
      <alignment horizontal="center" vertical="center" wrapText="1"/>
    </xf>
    <xf numFmtId="0" fontId="53" fillId="7" borderId="123" xfId="2" applyFont="1" applyFill="1" applyBorder="1" applyAlignment="1">
      <alignment horizontal="center" vertical="center" textRotation="90" wrapText="1"/>
    </xf>
    <xf numFmtId="0" fontId="53" fillId="7" borderId="34" xfId="2" applyFont="1" applyFill="1" applyBorder="1" applyAlignment="1">
      <alignment horizontal="center" vertical="center" textRotation="90" wrapText="1"/>
    </xf>
    <xf numFmtId="0" fontId="52" fillId="7" borderId="34" xfId="2" applyFont="1" applyFill="1" applyBorder="1" applyAlignment="1">
      <alignment horizontal="center" vertical="center" textRotation="90" wrapText="1"/>
    </xf>
    <xf numFmtId="0" fontId="52" fillId="7" borderId="125" xfId="2" applyFont="1" applyFill="1" applyBorder="1" applyAlignment="1">
      <alignment horizontal="center" vertical="center" textRotation="90" wrapText="1"/>
    </xf>
    <xf numFmtId="0" fontId="52" fillId="7" borderId="86" xfId="2" applyFont="1" applyFill="1" applyBorder="1" applyAlignment="1">
      <alignment horizontal="center" vertical="center" textRotation="90" wrapText="1"/>
    </xf>
    <xf numFmtId="0" fontId="53" fillId="7" borderId="27" xfId="2" applyFont="1" applyFill="1" applyBorder="1" applyAlignment="1">
      <alignment horizontal="center" vertical="center" textRotation="90" wrapText="1"/>
    </xf>
    <xf numFmtId="0" fontId="53" fillId="7" borderId="28" xfId="2" applyFont="1" applyFill="1" applyBorder="1" applyAlignment="1">
      <alignment horizontal="center" vertical="center" textRotation="90" wrapText="1"/>
    </xf>
    <xf numFmtId="0" fontId="52" fillId="7" borderId="28" xfId="2" applyFont="1" applyFill="1" applyBorder="1" applyAlignment="1">
      <alignment horizontal="center" vertical="center" textRotation="90" wrapText="1"/>
    </xf>
    <xf numFmtId="0" fontId="52" fillId="7" borderId="1" xfId="2" applyFont="1" applyFill="1" applyBorder="1" applyAlignment="1">
      <alignment horizontal="center" vertical="center" textRotation="90" wrapText="1"/>
    </xf>
    <xf numFmtId="0" fontId="52" fillId="7" borderId="29" xfId="2" applyFont="1" applyFill="1" applyBorder="1" applyAlignment="1">
      <alignment horizontal="center" vertical="center" textRotation="90" wrapText="1"/>
    </xf>
    <xf numFmtId="3" fontId="52" fillId="2" borderId="4" xfId="2" applyNumberFormat="1" applyFont="1" applyFill="1" applyBorder="1" applyAlignment="1">
      <alignment vertical="center"/>
    </xf>
    <xf numFmtId="3" fontId="53" fillId="0" borderId="76" xfId="2" applyNumberFormat="1" applyFont="1" applyBorder="1" applyAlignment="1">
      <alignment vertical="center"/>
    </xf>
    <xf numFmtId="3" fontId="53" fillId="0" borderId="79" xfId="2" applyNumberFormat="1" applyFont="1" applyBorder="1" applyAlignment="1">
      <alignment vertical="center"/>
    </xf>
    <xf numFmtId="3" fontId="53" fillId="0" borderId="4" xfId="2" applyNumberFormat="1" applyFont="1" applyBorder="1" applyAlignment="1">
      <alignment vertical="center"/>
    </xf>
    <xf numFmtId="3" fontId="53" fillId="0" borderId="76" xfId="2" applyNumberFormat="1" applyFont="1" applyFill="1" applyBorder="1" applyAlignment="1">
      <alignment vertical="center"/>
    </xf>
    <xf numFmtId="3" fontId="53" fillId="0" borderId="4" xfId="2" applyNumberFormat="1" applyFont="1" applyFill="1" applyBorder="1" applyAlignment="1">
      <alignment vertical="center"/>
    </xf>
    <xf numFmtId="3" fontId="52" fillId="13" borderId="18" xfId="2" applyNumberFormat="1" applyFont="1" applyFill="1" applyBorder="1" applyAlignment="1">
      <alignment vertical="center"/>
    </xf>
    <xf numFmtId="165" fontId="52" fillId="2" borderId="20" xfId="2" applyNumberFormat="1" applyFont="1" applyFill="1" applyBorder="1" applyAlignment="1">
      <alignment vertical="center"/>
    </xf>
    <xf numFmtId="0" fontId="52" fillId="0" borderId="0" xfId="0" applyFont="1" applyFill="1" applyAlignment="1">
      <alignment horizontal="left" vertical="center"/>
    </xf>
    <xf numFmtId="0" fontId="59" fillId="5" borderId="0" xfId="0" applyFont="1" applyFill="1" applyAlignment="1">
      <alignment vertical="center"/>
    </xf>
    <xf numFmtId="0" fontId="53" fillId="5" borderId="0" xfId="0" applyFont="1" applyFill="1" applyBorder="1" applyAlignment="1">
      <alignment vertical="center"/>
    </xf>
    <xf numFmtId="0" fontId="46" fillId="0" borderId="0" xfId="0" applyFont="1" applyAlignment="1">
      <alignment vertical="center"/>
    </xf>
    <xf numFmtId="0" fontId="37" fillId="0" borderId="0" xfId="4" applyFont="1"/>
    <xf numFmtId="0" fontId="37" fillId="0" borderId="0" xfId="4" applyFont="1" applyAlignment="1">
      <alignment horizontal="left"/>
    </xf>
    <xf numFmtId="0" fontId="38" fillId="0" borderId="0" xfId="4" applyFont="1"/>
    <xf numFmtId="0" fontId="38" fillId="0" borderId="0" xfId="4" applyFont="1" applyAlignment="1">
      <alignment horizontal="left"/>
    </xf>
    <xf numFmtId="0" fontId="37" fillId="0" borderId="0" xfId="4" applyFont="1" applyAlignment="1">
      <alignment horizontal="center"/>
    </xf>
    <xf numFmtId="0" fontId="25" fillId="0" borderId="0" xfId="4" applyFont="1"/>
    <xf numFmtId="0" fontId="13" fillId="5" borderId="0" xfId="4" applyFont="1" applyFill="1" applyAlignment="1">
      <alignment horizontal="center"/>
    </xf>
    <xf numFmtId="0" fontId="12" fillId="5" borderId="0" xfId="4" applyFont="1" applyFill="1" applyAlignment="1">
      <alignment horizontal="center"/>
    </xf>
    <xf numFmtId="0" fontId="53" fillId="0" borderId="0" xfId="4" applyFont="1"/>
    <xf numFmtId="0" fontId="46" fillId="0" borderId="3" xfId="4" applyFont="1" applyBorder="1"/>
    <xf numFmtId="0" fontId="46" fillId="0" borderId="47" xfId="4" applyFont="1" applyBorder="1"/>
    <xf numFmtId="4" fontId="46" fillId="0" borderId="13" xfId="4" applyNumberFormat="1" applyFont="1" applyBorder="1"/>
    <xf numFmtId="0" fontId="46" fillId="0" borderId="13" xfId="4" applyFont="1" applyBorder="1"/>
    <xf numFmtId="0" fontId="46" fillId="0" borderId="0" xfId="4" applyFont="1" applyBorder="1"/>
    <xf numFmtId="4" fontId="46" fillId="0" borderId="54" xfId="4" applyNumberFormat="1" applyFont="1" applyBorder="1"/>
    <xf numFmtId="4" fontId="46" fillId="0" borderId="0" xfId="4" applyNumberFormat="1" applyFont="1" applyBorder="1"/>
    <xf numFmtId="0" fontId="46" fillId="0" borderId="54" xfId="4" applyFont="1" applyBorder="1"/>
    <xf numFmtId="0" fontId="46" fillId="0" borderId="4" xfId="4" applyFont="1" applyBorder="1"/>
    <xf numFmtId="0" fontId="46" fillId="0" borderId="14" xfId="4" applyFont="1" applyBorder="1"/>
    <xf numFmtId="0" fontId="53" fillId="0" borderId="45" xfId="4" applyFont="1" applyBorder="1"/>
    <xf numFmtId="0" fontId="53" fillId="0" borderId="21" xfId="4" applyFont="1" applyBorder="1"/>
    <xf numFmtId="0" fontId="46" fillId="0" borderId="0" xfId="4" applyFont="1" applyAlignment="1">
      <alignment vertical="center"/>
    </xf>
    <xf numFmtId="0" fontId="50" fillId="0" borderId="0" xfId="4" applyFont="1" applyBorder="1"/>
    <xf numFmtId="0" fontId="50" fillId="5" borderId="0" xfId="4" applyFont="1" applyFill="1"/>
    <xf numFmtId="0" fontId="50" fillId="5" borderId="0" xfId="4" applyFont="1" applyFill="1" applyBorder="1"/>
    <xf numFmtId="0" fontId="50" fillId="7" borderId="13" xfId="4" applyFont="1" applyFill="1" applyBorder="1" applyAlignment="1">
      <alignment horizontal="center" vertical="center" textRotation="90" wrapText="1"/>
    </xf>
    <xf numFmtId="0" fontId="50" fillId="7" borderId="47" xfId="4" applyFont="1" applyFill="1" applyBorder="1" applyAlignment="1">
      <alignment horizontal="center" vertical="center" textRotation="90" wrapText="1"/>
    </xf>
    <xf numFmtId="0" fontId="50" fillId="7" borderId="52" xfId="4" applyFont="1" applyFill="1" applyBorder="1" applyAlignment="1">
      <alignment horizontal="center" vertical="center" textRotation="90" wrapText="1"/>
    </xf>
    <xf numFmtId="0" fontId="50" fillId="7" borderId="57" xfId="4" applyFont="1" applyFill="1" applyBorder="1" applyAlignment="1">
      <alignment horizontal="center" vertical="center" textRotation="90" wrapText="1"/>
    </xf>
    <xf numFmtId="0" fontId="50" fillId="7" borderId="21" xfId="4" applyFont="1" applyFill="1" applyBorder="1" applyAlignment="1">
      <alignment horizontal="center" vertical="center" textRotation="90" wrapText="1"/>
    </xf>
    <xf numFmtId="0" fontId="50" fillId="7" borderId="14" xfId="4" applyFont="1" applyFill="1" applyBorder="1" applyAlignment="1">
      <alignment horizontal="center" vertical="center" textRotation="90" wrapText="1"/>
    </xf>
    <xf numFmtId="0" fontId="50" fillId="7" borderId="11" xfId="4" applyFont="1" applyFill="1" applyBorder="1" applyAlignment="1">
      <alignment horizontal="center"/>
    </xf>
    <xf numFmtId="0" fontId="50" fillId="7" borderId="10" xfId="4" applyFont="1" applyFill="1" applyBorder="1" applyAlignment="1">
      <alignment horizontal="center"/>
    </xf>
    <xf numFmtId="0" fontId="50" fillId="7" borderId="48" xfId="4" applyFont="1" applyFill="1" applyBorder="1" applyAlignment="1">
      <alignment horizontal="center"/>
    </xf>
    <xf numFmtId="0" fontId="50" fillId="7" borderId="48" xfId="4" quotePrefix="1" applyFont="1" applyFill="1" applyBorder="1" applyAlignment="1">
      <alignment horizontal="center"/>
    </xf>
    <xf numFmtId="0" fontId="50" fillId="7" borderId="55" xfId="4" quotePrefix="1" applyFont="1" applyFill="1" applyBorder="1" applyAlignment="1">
      <alignment horizontal="center"/>
    </xf>
    <xf numFmtId="0" fontId="50" fillId="7" borderId="9" xfId="4" quotePrefix="1" applyFont="1" applyFill="1" applyBorder="1" applyAlignment="1">
      <alignment horizontal="center"/>
    </xf>
    <xf numFmtId="0" fontId="50" fillId="7" borderId="8" xfId="4" quotePrefix="1" applyFont="1" applyFill="1" applyBorder="1" applyAlignment="1">
      <alignment horizontal="center"/>
    </xf>
    <xf numFmtId="0" fontId="50" fillId="7" borderId="8" xfId="4" applyFont="1" applyFill="1" applyBorder="1" applyAlignment="1">
      <alignment horizontal="center"/>
    </xf>
    <xf numFmtId="0" fontId="46" fillId="0" borderId="12" xfId="4" applyFont="1" applyBorder="1"/>
    <xf numFmtId="0" fontId="46" fillId="0" borderId="50" xfId="4" applyFont="1" applyBorder="1"/>
    <xf numFmtId="0" fontId="46" fillId="0" borderId="45" xfId="4" applyFont="1" applyBorder="1"/>
    <xf numFmtId="0" fontId="46" fillId="0" borderId="57" xfId="4" applyFont="1" applyBorder="1"/>
    <xf numFmtId="0" fontId="46" fillId="0" borderId="21" xfId="4" applyFont="1" applyBorder="1"/>
    <xf numFmtId="3" fontId="46" fillId="0" borderId="21" xfId="4" applyNumberFormat="1" applyFont="1" applyBorder="1"/>
    <xf numFmtId="3" fontId="46" fillId="0" borderId="12" xfId="4" applyNumberFormat="1" applyFont="1" applyBorder="1"/>
    <xf numFmtId="0" fontId="46" fillId="0" borderId="14" xfId="4" applyFont="1" applyBorder="1" applyAlignment="1">
      <alignment horizontal="center"/>
    </xf>
    <xf numFmtId="165" fontId="46" fillId="0" borderId="4" xfId="4" applyNumberFormat="1" applyFont="1" applyBorder="1"/>
    <xf numFmtId="0" fontId="50" fillId="9" borderId="65" xfId="4" applyFont="1" applyFill="1" applyBorder="1"/>
    <xf numFmtId="165" fontId="50" fillId="9" borderId="22" xfId="7" applyNumberFormat="1" applyFont="1" applyFill="1" applyBorder="1" applyAlignment="1">
      <alignment horizontal="center"/>
    </xf>
    <xf numFmtId="165" fontId="50" fillId="9" borderId="23" xfId="7" applyNumberFormat="1" applyFont="1" applyFill="1" applyBorder="1" applyAlignment="1">
      <alignment horizontal="center"/>
    </xf>
    <xf numFmtId="165" fontId="50" fillId="9" borderId="25" xfId="7" applyNumberFormat="1" applyFont="1" applyFill="1" applyBorder="1" applyAlignment="1">
      <alignment horizontal="center"/>
    </xf>
    <xf numFmtId="165" fontId="50" fillId="9" borderId="65" xfId="7" applyNumberFormat="1" applyFont="1" applyFill="1" applyBorder="1" applyAlignment="1">
      <alignment horizontal="center"/>
    </xf>
    <xf numFmtId="0" fontId="46" fillId="0" borderId="74" xfId="4" applyFont="1" applyBorder="1" applyAlignment="1">
      <alignment horizontal="center"/>
    </xf>
    <xf numFmtId="165" fontId="46" fillId="0" borderId="74" xfId="7" applyNumberFormat="1" applyFont="1" applyBorder="1" applyAlignment="1">
      <alignment horizontal="center"/>
    </xf>
    <xf numFmtId="165" fontId="46" fillId="0" borderId="105" xfId="7" applyNumberFormat="1" applyFont="1" applyBorder="1"/>
    <xf numFmtId="165" fontId="50" fillId="0" borderId="103" xfId="7" applyNumberFormat="1" applyFont="1" applyBorder="1"/>
    <xf numFmtId="165" fontId="46" fillId="0" borderId="102" xfId="7" applyNumberFormat="1" applyFont="1" applyBorder="1"/>
    <xf numFmtId="165" fontId="46" fillId="0" borderId="76" xfId="7" applyNumberFormat="1" applyFont="1" applyBorder="1"/>
    <xf numFmtId="165" fontId="46" fillId="0" borderId="74" xfId="7" applyNumberFormat="1" applyFont="1" applyBorder="1"/>
    <xf numFmtId="165" fontId="46" fillId="0" borderId="75" xfId="7" applyNumberFormat="1" applyFont="1" applyBorder="1"/>
    <xf numFmtId="0" fontId="46" fillId="0" borderId="77" xfId="4" applyFont="1" applyBorder="1" applyAlignment="1">
      <alignment horizontal="center"/>
    </xf>
    <xf numFmtId="165" fontId="46" fillId="0" borderId="77" xfId="7" applyNumberFormat="1" applyFont="1" applyBorder="1" applyAlignment="1">
      <alignment horizontal="center"/>
    </xf>
    <xf numFmtId="165" fontId="46" fillId="0" borderId="108" xfId="7" applyNumberFormat="1" applyFont="1" applyBorder="1"/>
    <xf numFmtId="165" fontId="46" fillId="0" borderId="94" xfId="7" applyNumberFormat="1" applyFont="1" applyBorder="1"/>
    <xf numFmtId="165" fontId="46" fillId="0" borderId="79" xfId="7" applyNumberFormat="1" applyFont="1" applyBorder="1"/>
    <xf numFmtId="165" fontId="46" fillId="0" borderId="77" xfId="7" applyNumberFormat="1" applyFont="1" applyBorder="1"/>
    <xf numFmtId="165" fontId="46" fillId="0" borderId="78" xfId="7" applyNumberFormat="1" applyFont="1" applyBorder="1"/>
    <xf numFmtId="165" fontId="46" fillId="0" borderId="14" xfId="7" applyNumberFormat="1" applyFont="1" applyBorder="1" applyAlignment="1">
      <alignment horizontal="center"/>
    </xf>
    <xf numFmtId="165" fontId="46" fillId="0" borderId="13" xfId="7" applyNumberFormat="1" applyFont="1" applyBorder="1"/>
    <xf numFmtId="165" fontId="46" fillId="0" borderId="54" xfId="7" applyNumberFormat="1" applyFont="1" applyBorder="1"/>
    <xf numFmtId="165" fontId="46" fillId="0" borderId="4" xfId="7" applyNumberFormat="1" applyFont="1" applyBorder="1"/>
    <xf numFmtId="165" fontId="46" fillId="0" borderId="14" xfId="7" applyNumberFormat="1" applyFont="1" applyBorder="1"/>
    <xf numFmtId="165" fontId="46" fillId="0" borderId="0" xfId="7" applyNumberFormat="1" applyFont="1" applyBorder="1"/>
    <xf numFmtId="165" fontId="46" fillId="0" borderId="111" xfId="7" applyNumberFormat="1" applyFont="1" applyBorder="1"/>
    <xf numFmtId="165" fontId="46" fillId="0" borderId="113" xfId="7" applyNumberFormat="1" applyFont="1" applyBorder="1"/>
    <xf numFmtId="165" fontId="46" fillId="0" borderId="114" xfId="7" applyNumberFormat="1" applyFont="1" applyBorder="1"/>
    <xf numFmtId="165" fontId="46" fillId="0" borderId="110" xfId="7" applyNumberFormat="1" applyFont="1" applyBorder="1"/>
    <xf numFmtId="165" fontId="46" fillId="0" borderId="115" xfId="7" applyNumberFormat="1" applyFont="1" applyBorder="1"/>
    <xf numFmtId="0" fontId="46" fillId="0" borderId="11" xfId="4" applyFont="1" applyBorder="1"/>
    <xf numFmtId="165" fontId="46" fillId="0" borderId="10" xfId="7" applyNumberFormat="1" applyFont="1" applyBorder="1"/>
    <xf numFmtId="165" fontId="46" fillId="0" borderId="80" xfId="7" applyNumberFormat="1" applyFont="1" applyBorder="1"/>
    <xf numFmtId="165" fontId="46" fillId="0" borderId="9" xfId="7" applyNumberFormat="1" applyFont="1" applyBorder="1"/>
    <xf numFmtId="165" fontId="46" fillId="0" borderId="8" xfId="7" applyNumberFormat="1" applyFont="1" applyBorder="1"/>
    <xf numFmtId="165" fontId="46" fillId="0" borderId="11" xfId="7" applyNumberFormat="1" applyFont="1" applyBorder="1"/>
    <xf numFmtId="4" fontId="46" fillId="0" borderId="4" xfId="4" applyNumberFormat="1" applyFont="1" applyBorder="1"/>
    <xf numFmtId="0" fontId="12" fillId="0" borderId="6" xfId="4" applyFont="1" applyBorder="1"/>
    <xf numFmtId="0" fontId="46" fillId="5" borderId="92" xfId="4" applyFont="1" applyFill="1" applyBorder="1" applyAlignment="1">
      <alignment horizontal="center"/>
    </xf>
    <xf numFmtId="0" fontId="46" fillId="5" borderId="96" xfId="4" applyFont="1" applyFill="1" applyBorder="1"/>
    <xf numFmtId="0" fontId="46" fillId="0" borderId="6" xfId="4" applyFont="1" applyBorder="1"/>
    <xf numFmtId="0" fontId="46" fillId="0" borderId="109" xfId="4" applyFont="1" applyBorder="1" applyAlignment="1">
      <alignment horizontal="center"/>
    </xf>
    <xf numFmtId="0" fontId="46" fillId="0" borderId="92" xfId="4" applyFont="1" applyBorder="1" applyAlignment="1">
      <alignment horizontal="center"/>
    </xf>
    <xf numFmtId="0" fontId="46" fillId="0" borderId="126" xfId="4" applyFont="1" applyBorder="1" applyAlignment="1">
      <alignment horizontal="center"/>
    </xf>
    <xf numFmtId="0" fontId="46" fillId="0" borderId="7" xfId="4" applyFont="1" applyBorder="1"/>
    <xf numFmtId="165" fontId="50" fillId="9" borderId="56" xfId="7" applyNumberFormat="1" applyFont="1" applyFill="1" applyBorder="1" applyAlignment="1">
      <alignment horizontal="center"/>
    </xf>
    <xf numFmtId="0" fontId="13" fillId="7" borderId="46" xfId="4" applyFont="1" applyFill="1" applyBorder="1" applyAlignment="1">
      <alignment horizontal="center" vertical="center" textRotation="90" wrapText="1"/>
    </xf>
    <xf numFmtId="0" fontId="46" fillId="0" borderId="3" xfId="4" applyFont="1" applyBorder="1" applyAlignment="1">
      <alignment horizontal="center"/>
    </xf>
    <xf numFmtId="0" fontId="13" fillId="7" borderId="51" xfId="4" applyFont="1" applyFill="1" applyBorder="1" applyAlignment="1">
      <alignment horizontal="center" vertical="center" textRotation="90" wrapText="1"/>
    </xf>
    <xf numFmtId="0" fontId="13" fillId="7" borderId="9" xfId="4" applyFont="1" applyFill="1" applyBorder="1" applyAlignment="1">
      <alignment horizontal="center"/>
    </xf>
    <xf numFmtId="0" fontId="13" fillId="7" borderId="84" xfId="4" quotePrefix="1" applyFont="1" applyFill="1" applyBorder="1" applyAlignment="1">
      <alignment horizontal="center"/>
    </xf>
    <xf numFmtId="0" fontId="12" fillId="0" borderId="47" xfId="4" applyFont="1" applyBorder="1"/>
    <xf numFmtId="0" fontId="12" fillId="0" borderId="53" xfId="4" applyFont="1" applyBorder="1"/>
    <xf numFmtId="0" fontId="46" fillId="0" borderId="54" xfId="4" applyFont="1" applyBorder="1" applyAlignment="1">
      <alignment horizontal="center"/>
    </xf>
    <xf numFmtId="0" fontId="46" fillId="0" borderId="53" xfId="4" applyFont="1" applyBorder="1"/>
    <xf numFmtId="0" fontId="50" fillId="7" borderId="46" xfId="4" applyFont="1" applyFill="1" applyBorder="1" applyAlignment="1">
      <alignment horizontal="center" vertical="center" textRotation="90" wrapText="1"/>
    </xf>
    <xf numFmtId="0" fontId="50" fillId="7" borderId="51" xfId="4" applyFont="1" applyFill="1" applyBorder="1" applyAlignment="1">
      <alignment horizontal="center" vertical="center" textRotation="90" wrapText="1"/>
    </xf>
    <xf numFmtId="0" fontId="50" fillId="7" borderId="9" xfId="4" applyFont="1" applyFill="1" applyBorder="1" applyAlignment="1">
      <alignment horizontal="center"/>
    </xf>
    <xf numFmtId="0" fontId="50" fillId="7" borderId="84" xfId="4" quotePrefix="1" applyFont="1" applyFill="1" applyBorder="1" applyAlignment="1">
      <alignment horizontal="center"/>
    </xf>
    <xf numFmtId="0" fontId="46" fillId="0" borderId="46" xfId="4" applyFont="1" applyBorder="1"/>
    <xf numFmtId="0" fontId="46" fillId="0" borderId="51" xfId="4" applyFont="1" applyBorder="1"/>
    <xf numFmtId="165" fontId="46" fillId="0" borderId="53" xfId="4" applyNumberFormat="1" applyFont="1" applyBorder="1"/>
    <xf numFmtId="165" fontId="46" fillId="0" borderId="102" xfId="7" applyNumberFormat="1" applyFont="1" applyBorder="1" applyAlignment="1">
      <alignment horizontal="center"/>
    </xf>
    <xf numFmtId="165" fontId="46" fillId="0" borderId="103" xfId="7" applyNumberFormat="1" applyFont="1" applyBorder="1"/>
    <xf numFmtId="165" fontId="46" fillId="0" borderId="104" xfId="7" applyNumberFormat="1" applyFont="1" applyBorder="1"/>
    <xf numFmtId="165" fontId="46" fillId="0" borderId="94" xfId="7" applyNumberFormat="1" applyFont="1" applyBorder="1" applyAlignment="1">
      <alignment horizontal="center"/>
    </xf>
    <xf numFmtId="165" fontId="46" fillId="0" borderId="106" xfId="7" applyNumberFormat="1" applyFont="1" applyBorder="1"/>
    <xf numFmtId="165" fontId="50" fillId="0" borderId="106" xfId="7" applyNumberFormat="1" applyFont="1" applyBorder="1"/>
    <xf numFmtId="165" fontId="46" fillId="0" borderId="107" xfId="7" applyNumberFormat="1" applyFont="1" applyBorder="1"/>
    <xf numFmtId="165" fontId="46" fillId="0" borderId="54" xfId="7" applyNumberFormat="1" applyFont="1" applyBorder="1" applyAlignment="1">
      <alignment horizontal="center"/>
    </xf>
    <xf numFmtId="165" fontId="46" fillId="0" borderId="47" xfId="7" applyNumberFormat="1" applyFont="1" applyBorder="1"/>
    <xf numFmtId="165" fontId="50" fillId="0" borderId="47" xfId="7" applyNumberFormat="1" applyFont="1" applyBorder="1"/>
    <xf numFmtId="165" fontId="46" fillId="0" borderId="53" xfId="7" applyNumberFormat="1" applyFont="1" applyBorder="1"/>
    <xf numFmtId="165" fontId="46" fillId="0" borderId="113" xfId="7" applyNumberFormat="1" applyFont="1" applyBorder="1" applyAlignment="1">
      <alignment horizontal="center"/>
    </xf>
    <xf numFmtId="165" fontId="46" fillId="0" borderId="127" xfId="7" applyNumberFormat="1" applyFont="1" applyBorder="1"/>
    <xf numFmtId="165" fontId="50" fillId="0" borderId="127" xfId="7" applyNumberFormat="1" applyFont="1" applyBorder="1"/>
    <xf numFmtId="165" fontId="46" fillId="0" borderId="112" xfId="7" applyNumberFormat="1" applyFont="1" applyBorder="1"/>
    <xf numFmtId="165" fontId="46" fillId="0" borderId="9" xfId="7" applyNumberFormat="1" applyFont="1" applyBorder="1" applyAlignment="1">
      <alignment horizontal="center"/>
    </xf>
    <xf numFmtId="165" fontId="46" fillId="0" borderId="48" xfId="7" applyNumberFormat="1" applyFont="1" applyBorder="1"/>
    <xf numFmtId="165" fontId="46" fillId="0" borderId="84" xfId="7" applyNumberFormat="1" applyFont="1" applyBorder="1"/>
    <xf numFmtId="0" fontId="46" fillId="0" borderId="0" xfId="4" applyFont="1" applyBorder="1" applyAlignment="1">
      <alignment horizontal="center"/>
    </xf>
    <xf numFmtId="0" fontId="50" fillId="5" borderId="80" xfId="4" applyFont="1" applyFill="1" applyBorder="1"/>
    <xf numFmtId="0" fontId="13" fillId="7" borderId="54" xfId="4" applyFont="1" applyFill="1" applyBorder="1" applyAlignment="1">
      <alignment horizontal="center" vertical="center" textRotation="90" wrapText="1"/>
    </xf>
    <xf numFmtId="0" fontId="13" fillId="7" borderId="53" xfId="4" applyFont="1" applyFill="1" applyBorder="1" applyAlignment="1">
      <alignment horizontal="center" vertical="center" textRotation="90" wrapText="1"/>
    </xf>
    <xf numFmtId="0" fontId="13" fillId="7" borderId="84" xfId="4" applyFont="1" applyFill="1" applyBorder="1" applyAlignment="1">
      <alignment horizontal="center"/>
    </xf>
    <xf numFmtId="0" fontId="50" fillId="5" borderId="3" xfId="4" applyFont="1" applyFill="1" applyBorder="1" applyAlignment="1">
      <alignment horizontal="center" wrapText="1"/>
    </xf>
    <xf numFmtId="165" fontId="50" fillId="5" borderId="54" xfId="5" applyNumberFormat="1" applyFont="1" applyFill="1" applyBorder="1" applyAlignment="1">
      <alignment horizontal="center"/>
    </xf>
    <xf numFmtId="165" fontId="50" fillId="5" borderId="47" xfId="5" applyNumberFormat="1" applyFont="1" applyFill="1" applyBorder="1"/>
    <xf numFmtId="165" fontId="50" fillId="5" borderId="53" xfId="5" applyNumberFormat="1" applyFont="1" applyFill="1" applyBorder="1"/>
    <xf numFmtId="165" fontId="50" fillId="5" borderId="54" xfId="5" applyNumberFormat="1" applyFont="1" applyFill="1" applyBorder="1"/>
    <xf numFmtId="165" fontId="46" fillId="0" borderId="54" xfId="5" applyNumberFormat="1" applyFont="1" applyBorder="1" applyAlignment="1">
      <alignment horizontal="center"/>
    </xf>
    <xf numFmtId="165" fontId="46" fillId="0" borderId="47" xfId="5" applyNumberFormat="1" applyFont="1" applyBorder="1"/>
    <xf numFmtId="165" fontId="46" fillId="0" borderId="53" xfId="5" applyNumberFormat="1" applyFont="1" applyBorder="1"/>
    <xf numFmtId="165" fontId="46" fillId="0" borderId="54" xfId="5" applyNumberFormat="1" applyFont="1" applyBorder="1"/>
    <xf numFmtId="165" fontId="46" fillId="5" borderId="94" xfId="5" applyNumberFormat="1" applyFont="1" applyFill="1" applyBorder="1" applyAlignment="1">
      <alignment horizontal="center"/>
    </xf>
    <xf numFmtId="165" fontId="46" fillId="5" borderId="106" xfId="5" applyNumberFormat="1" applyFont="1" applyFill="1" applyBorder="1" applyAlignment="1">
      <alignment horizontal="right"/>
    </xf>
    <xf numFmtId="165" fontId="46" fillId="5" borderId="107" xfId="5" applyNumberFormat="1" applyFont="1" applyFill="1" applyBorder="1" applyAlignment="1">
      <alignment horizontal="right"/>
    </xf>
    <xf numFmtId="165" fontId="46" fillId="5" borderId="94" xfId="5" applyNumberFormat="1" applyFont="1" applyFill="1" applyBorder="1" applyAlignment="1">
      <alignment horizontal="right"/>
    </xf>
    <xf numFmtId="165" fontId="50" fillId="5" borderId="107" xfId="5" applyNumberFormat="1" applyFont="1" applyFill="1" applyBorder="1"/>
    <xf numFmtId="165" fontId="46" fillId="5" borderId="94" xfId="5" applyNumberFormat="1" applyFont="1" applyFill="1" applyBorder="1"/>
    <xf numFmtId="165" fontId="46" fillId="5" borderId="121" xfId="5" applyNumberFormat="1" applyFont="1" applyFill="1" applyBorder="1"/>
    <xf numFmtId="165" fontId="46" fillId="5" borderId="122" xfId="5" applyNumberFormat="1" applyFont="1" applyFill="1" applyBorder="1"/>
    <xf numFmtId="165" fontId="46" fillId="5" borderId="98" xfId="5" applyNumberFormat="1" applyFont="1" applyFill="1" applyBorder="1"/>
    <xf numFmtId="165" fontId="46" fillId="5" borderId="128" xfId="5" applyNumberFormat="1" applyFont="1" applyFill="1" applyBorder="1"/>
    <xf numFmtId="165" fontId="46" fillId="5" borderId="129" xfId="5" applyNumberFormat="1" applyFont="1" applyFill="1" applyBorder="1"/>
    <xf numFmtId="165" fontId="46" fillId="5" borderId="106" xfId="5" applyNumberFormat="1" applyFont="1" applyFill="1" applyBorder="1"/>
    <xf numFmtId="165" fontId="46" fillId="5" borderId="47" xfId="5" applyNumberFormat="1" applyFont="1" applyFill="1" applyBorder="1"/>
    <xf numFmtId="165" fontId="46" fillId="5" borderId="98" xfId="5" applyNumberFormat="1" applyFont="1" applyFill="1" applyBorder="1" applyAlignment="1">
      <alignment horizontal="center"/>
    </xf>
    <xf numFmtId="0" fontId="50" fillId="5" borderId="130" xfId="2" applyFont="1" applyFill="1" applyBorder="1" applyAlignment="1">
      <alignment horizontal="center" vertical="center"/>
    </xf>
    <xf numFmtId="165" fontId="46" fillId="5" borderId="128" xfId="5" applyNumberFormat="1" applyFont="1" applyFill="1" applyBorder="1" applyAlignment="1">
      <alignment horizontal="center" vertical="center"/>
    </xf>
    <xf numFmtId="165" fontId="46" fillId="5" borderId="131" xfId="5" applyNumberFormat="1" applyFont="1" applyFill="1" applyBorder="1"/>
    <xf numFmtId="0" fontId="46" fillId="5" borderId="130" xfId="2" applyFont="1" applyFill="1" applyBorder="1" applyAlignment="1">
      <alignment horizontal="center" vertical="center"/>
    </xf>
    <xf numFmtId="165" fontId="46" fillId="0" borderId="128" xfId="5" applyNumberFormat="1" applyFont="1" applyBorder="1"/>
    <xf numFmtId="165" fontId="46" fillId="0" borderId="129" xfId="5" applyNumberFormat="1" applyFont="1" applyBorder="1"/>
    <xf numFmtId="0" fontId="50" fillId="3" borderId="7" xfId="4" applyFont="1" applyFill="1" applyBorder="1" applyAlignment="1">
      <alignment horizontal="center" vertical="center"/>
    </xf>
    <xf numFmtId="165" fontId="50" fillId="3" borderId="9" xfId="5" applyNumberFormat="1" applyFont="1" applyFill="1" applyBorder="1" applyAlignment="1">
      <alignment horizontal="center" vertical="center"/>
    </xf>
    <xf numFmtId="165" fontId="50" fillId="3" borderId="48" xfId="5" applyNumberFormat="1" applyFont="1" applyFill="1" applyBorder="1" applyAlignment="1">
      <alignment vertical="center"/>
    </xf>
    <xf numFmtId="165" fontId="50" fillId="3" borderId="84" xfId="5" applyNumberFormat="1" applyFont="1" applyFill="1" applyBorder="1" applyAlignment="1">
      <alignment vertical="center"/>
    </xf>
    <xf numFmtId="165" fontId="50" fillId="3" borderId="9" xfId="5" applyNumberFormat="1" applyFont="1" applyFill="1" applyBorder="1" applyAlignment="1">
      <alignment vertical="center"/>
    </xf>
    <xf numFmtId="165" fontId="50" fillId="3" borderId="39" xfId="7" applyNumberFormat="1" applyFont="1" applyFill="1" applyBorder="1" applyAlignment="1">
      <alignment vertical="center"/>
    </xf>
    <xf numFmtId="165" fontId="50" fillId="3" borderId="16" xfId="7" applyNumberFormat="1" applyFont="1" applyFill="1" applyBorder="1" applyAlignment="1">
      <alignment vertical="center"/>
    </xf>
    <xf numFmtId="165" fontId="50" fillId="3" borderId="40" xfId="7" applyNumberFormat="1" applyFont="1" applyFill="1" applyBorder="1" applyAlignment="1">
      <alignment vertical="center"/>
    </xf>
    <xf numFmtId="165" fontId="50" fillId="3" borderId="18" xfId="7" applyNumberFormat="1" applyFont="1" applyFill="1" applyBorder="1" applyAlignment="1">
      <alignment vertical="center"/>
    </xf>
    <xf numFmtId="165" fontId="50" fillId="3" borderId="5" xfId="7" applyNumberFormat="1" applyFont="1" applyFill="1" applyBorder="1" applyAlignment="1">
      <alignment vertical="center"/>
    </xf>
    <xf numFmtId="0" fontId="50" fillId="0" borderId="3" xfId="4" applyFont="1" applyBorder="1"/>
    <xf numFmtId="0" fontId="46" fillId="0" borderId="4" xfId="4" applyFont="1" applyBorder="1" applyAlignment="1">
      <alignment horizontal="center"/>
    </xf>
    <xf numFmtId="0" fontId="50" fillId="9" borderId="100" xfId="2" applyFont="1" applyFill="1" applyBorder="1" applyAlignment="1">
      <alignment horizontal="center" vertical="center"/>
    </xf>
    <xf numFmtId="3" fontId="50" fillId="9" borderId="65" xfId="2" applyNumberFormat="1" applyFont="1" applyFill="1" applyBorder="1" applyAlignment="1">
      <alignment horizontal="center" vertical="center"/>
    </xf>
    <xf numFmtId="165" fontId="50" fillId="9" borderId="41" xfId="7" applyNumberFormat="1" applyFont="1" applyFill="1" applyBorder="1" applyAlignment="1">
      <alignment horizontal="right" vertical="center"/>
    </xf>
    <xf numFmtId="165" fontId="50" fillId="9" borderId="24" xfId="7" applyNumberFormat="1" applyFont="1" applyFill="1" applyBorder="1" applyAlignment="1">
      <alignment horizontal="right" vertical="center"/>
    </xf>
    <xf numFmtId="165" fontId="50" fillId="9" borderId="23" xfId="7" applyNumberFormat="1" applyFont="1" applyFill="1" applyBorder="1" applyAlignment="1">
      <alignment horizontal="right" vertical="center"/>
    </xf>
    <xf numFmtId="165" fontId="50" fillId="9" borderId="100" xfId="7" applyNumberFormat="1" applyFont="1" applyFill="1" applyBorder="1" applyAlignment="1">
      <alignment horizontal="right" vertical="center"/>
    </xf>
    <xf numFmtId="165" fontId="50" fillId="9" borderId="25" xfId="7" applyNumberFormat="1" applyFont="1" applyFill="1" applyBorder="1" applyAlignment="1">
      <alignment horizontal="right" vertical="center"/>
    </xf>
    <xf numFmtId="165" fontId="50" fillId="9" borderId="65" xfId="7" applyNumberFormat="1" applyFont="1" applyFill="1" applyBorder="1" applyAlignment="1">
      <alignment horizontal="center" vertical="center"/>
    </xf>
    <xf numFmtId="165" fontId="50" fillId="9" borderId="25" xfId="7" applyNumberFormat="1" applyFont="1" applyFill="1" applyBorder="1" applyAlignment="1">
      <alignment horizontal="center" vertical="center"/>
    </xf>
    <xf numFmtId="0" fontId="46" fillId="0" borderId="109" xfId="2" applyFont="1" applyBorder="1" applyAlignment="1">
      <alignment horizontal="center" vertical="center"/>
    </xf>
    <xf numFmtId="165" fontId="46" fillId="0" borderId="75" xfId="7" applyNumberFormat="1" applyFont="1" applyFill="1" applyBorder="1" applyAlignment="1">
      <alignment horizontal="right"/>
    </xf>
    <xf numFmtId="165" fontId="46" fillId="0" borderId="116" xfId="7" applyNumberFormat="1" applyFont="1" applyBorder="1" applyAlignment="1">
      <alignment horizontal="right"/>
    </xf>
    <xf numFmtId="165" fontId="46" fillId="0" borderId="103" xfId="7" applyNumberFormat="1" applyFont="1" applyBorder="1" applyAlignment="1">
      <alignment horizontal="right"/>
    </xf>
    <xf numFmtId="165" fontId="46" fillId="0" borderId="75" xfId="7" applyNumberFormat="1" applyFont="1" applyBorder="1" applyAlignment="1">
      <alignment horizontal="right"/>
    </xf>
    <xf numFmtId="165" fontId="46" fillId="0" borderId="109" xfId="7" applyNumberFormat="1" applyFont="1" applyBorder="1" applyAlignment="1">
      <alignment horizontal="right"/>
    </xf>
    <xf numFmtId="165" fontId="46" fillId="0" borderId="104" xfId="7" applyNumberFormat="1" applyFont="1" applyBorder="1" applyAlignment="1">
      <alignment horizontal="right"/>
    </xf>
    <xf numFmtId="165" fontId="46" fillId="0" borderId="76" xfId="7" applyNumberFormat="1" applyFont="1" applyBorder="1" applyAlignment="1">
      <alignment horizontal="center" vertical="center"/>
    </xf>
    <xf numFmtId="165" fontId="46" fillId="0" borderId="74" xfId="7" applyNumberFormat="1" applyFont="1" applyBorder="1" applyAlignment="1">
      <alignment horizontal="center" vertical="center"/>
    </xf>
    <xf numFmtId="0" fontId="46" fillId="0" borderId="92" xfId="2" applyFont="1" applyBorder="1" applyAlignment="1">
      <alignment horizontal="center" vertical="center"/>
    </xf>
    <xf numFmtId="165" fontId="46" fillId="0" borderId="78" xfId="7" applyNumberFormat="1" applyFont="1" applyFill="1" applyBorder="1" applyAlignment="1">
      <alignment horizontal="right"/>
    </xf>
    <xf numFmtId="165" fontId="46" fillId="0" borderId="93" xfId="7" applyNumberFormat="1" applyFont="1" applyBorder="1" applyAlignment="1">
      <alignment horizontal="right"/>
    </xf>
    <xf numFmtId="165" fontId="46" fillId="0" borderId="106" xfId="7" applyNumberFormat="1" applyFont="1" applyBorder="1" applyAlignment="1">
      <alignment horizontal="right"/>
    </xf>
    <xf numFmtId="165" fontId="46" fillId="0" borderId="78" xfId="7" applyNumberFormat="1" applyFont="1" applyBorder="1" applyAlignment="1">
      <alignment horizontal="right"/>
    </xf>
    <xf numFmtId="165" fontId="46" fillId="0" borderId="92" xfId="7" applyNumberFormat="1" applyFont="1" applyBorder="1" applyAlignment="1">
      <alignment horizontal="right"/>
    </xf>
    <xf numFmtId="165" fontId="46" fillId="0" borderId="107" xfId="7" applyNumberFormat="1" applyFont="1" applyBorder="1" applyAlignment="1">
      <alignment horizontal="right"/>
    </xf>
    <xf numFmtId="165" fontId="46" fillId="0" borderId="79" xfId="7" applyNumberFormat="1" applyFont="1" applyBorder="1" applyAlignment="1">
      <alignment horizontal="center" vertical="center"/>
    </xf>
    <xf numFmtId="165" fontId="46" fillId="0" borderId="77" xfId="7" applyNumberFormat="1" applyFont="1" applyBorder="1" applyAlignment="1">
      <alignment horizontal="center" vertical="center"/>
    </xf>
    <xf numFmtId="0" fontId="46" fillId="0" borderId="3" xfId="2" applyFont="1" applyBorder="1" applyAlignment="1">
      <alignment horizontal="center" vertical="center"/>
    </xf>
    <xf numFmtId="3" fontId="46" fillId="0" borderId="14" xfId="4" applyNumberFormat="1" applyFont="1" applyBorder="1" applyAlignment="1">
      <alignment horizontal="center"/>
    </xf>
    <xf numFmtId="165" fontId="46" fillId="0" borderId="0" xfId="7" applyNumberFormat="1" applyFont="1" applyFill="1" applyBorder="1" applyAlignment="1">
      <alignment horizontal="right"/>
    </xf>
    <xf numFmtId="165" fontId="46" fillId="0" borderId="52" xfId="7" applyNumberFormat="1" applyFont="1" applyBorder="1" applyAlignment="1">
      <alignment horizontal="right"/>
    </xf>
    <xf numFmtId="165" fontId="46" fillId="0" borderId="47" xfId="7" applyNumberFormat="1" applyFont="1" applyBorder="1" applyAlignment="1">
      <alignment horizontal="right"/>
    </xf>
    <xf numFmtId="165" fontId="46" fillId="0" borderId="0" xfId="7" applyNumberFormat="1" applyFont="1" applyBorder="1" applyAlignment="1">
      <alignment horizontal="right"/>
    </xf>
    <xf numFmtId="165" fontId="46" fillId="0" borderId="3" xfId="7" applyNumberFormat="1" applyFont="1" applyBorder="1" applyAlignment="1">
      <alignment horizontal="right"/>
    </xf>
    <xf numFmtId="165" fontId="46" fillId="0" borderId="53" xfId="7" applyNumberFormat="1" applyFont="1" applyBorder="1" applyAlignment="1">
      <alignment horizontal="right"/>
    </xf>
    <xf numFmtId="165" fontId="46" fillId="0" borderId="4" xfId="7" applyNumberFormat="1" applyFont="1" applyBorder="1" applyAlignment="1">
      <alignment horizontal="center" vertical="center"/>
    </xf>
    <xf numFmtId="165" fontId="46" fillId="0" borderId="14" xfId="7" applyNumberFormat="1" applyFont="1" applyBorder="1" applyAlignment="1">
      <alignment horizontal="center" vertical="center"/>
    </xf>
    <xf numFmtId="0" fontId="50" fillId="9" borderId="100" xfId="2" applyFont="1" applyFill="1" applyBorder="1" applyAlignment="1">
      <alignment horizontal="left" vertical="center"/>
    </xf>
    <xf numFmtId="0" fontId="46" fillId="0" borderId="109" xfId="2" applyFont="1" applyFill="1" applyBorder="1" applyAlignment="1">
      <alignment horizontal="center" vertical="center"/>
    </xf>
    <xf numFmtId="165" fontId="46" fillId="0" borderId="76" xfId="7" applyNumberFormat="1" applyFont="1" applyBorder="1" applyAlignment="1">
      <alignment vertical="center"/>
    </xf>
    <xf numFmtId="0" fontId="46" fillId="0" borderId="92" xfId="2" applyFont="1" applyFill="1" applyBorder="1" applyAlignment="1">
      <alignment horizontal="center" vertical="center"/>
    </xf>
    <xf numFmtId="165" fontId="46" fillId="0" borderId="79" xfId="7" applyNumberFormat="1" applyFont="1" applyBorder="1" applyAlignment="1">
      <alignment vertical="center"/>
    </xf>
    <xf numFmtId="3" fontId="46" fillId="0" borderId="77" xfId="4" applyNumberFormat="1" applyFont="1" applyBorder="1" applyAlignment="1">
      <alignment horizontal="center"/>
    </xf>
    <xf numFmtId="165" fontId="50" fillId="9" borderId="23" xfId="7" applyNumberFormat="1" applyFont="1" applyFill="1" applyBorder="1" applyAlignment="1">
      <alignment horizontal="center" vertical="center"/>
    </xf>
    <xf numFmtId="165" fontId="50" fillId="9" borderId="56" xfId="7" applyNumberFormat="1" applyFont="1" applyFill="1" applyBorder="1" applyAlignment="1">
      <alignment horizontal="center" vertical="center"/>
    </xf>
    <xf numFmtId="165" fontId="50" fillId="9" borderId="22" xfId="7" applyNumberFormat="1" applyFont="1" applyFill="1" applyBorder="1" applyAlignment="1">
      <alignment horizontal="center" vertical="center"/>
    </xf>
    <xf numFmtId="165" fontId="46" fillId="0" borderId="4" xfId="7" applyNumberFormat="1" applyFont="1" applyBorder="1" applyAlignment="1">
      <alignment vertical="center"/>
    </xf>
    <xf numFmtId="0" fontId="46" fillId="0" borderId="92" xfId="31" applyFont="1" applyBorder="1" applyAlignment="1">
      <alignment horizontal="center"/>
    </xf>
    <xf numFmtId="0" fontId="46" fillId="0" borderId="3" xfId="31" applyFont="1" applyBorder="1" applyAlignment="1">
      <alignment horizontal="center"/>
    </xf>
    <xf numFmtId="0" fontId="46" fillId="5" borderId="109" xfId="31" applyFont="1" applyFill="1" applyBorder="1" applyAlignment="1">
      <alignment horizontal="center"/>
    </xf>
    <xf numFmtId="0" fontId="46" fillId="5" borderId="74" xfId="4" applyFont="1" applyFill="1" applyBorder="1" applyAlignment="1">
      <alignment horizontal="center"/>
    </xf>
    <xf numFmtId="165" fontId="46" fillId="5" borderId="75" xfId="7" applyNumberFormat="1" applyFont="1" applyFill="1" applyBorder="1" applyAlignment="1">
      <alignment horizontal="right"/>
    </xf>
    <xf numFmtId="165" fontId="46" fillId="5" borderId="116" xfId="7" applyNumberFormat="1" applyFont="1" applyFill="1" applyBorder="1" applyAlignment="1">
      <alignment horizontal="right"/>
    </xf>
    <xf numFmtId="165" fontId="46" fillId="5" borderId="103" xfId="7" applyNumberFormat="1" applyFont="1" applyFill="1" applyBorder="1" applyAlignment="1">
      <alignment horizontal="right"/>
    </xf>
    <xf numFmtId="165" fontId="46" fillId="5" borderId="109" xfId="7" applyNumberFormat="1" applyFont="1" applyFill="1" applyBorder="1" applyAlignment="1">
      <alignment horizontal="right"/>
    </xf>
    <xf numFmtId="165" fontId="46" fillId="5" borderId="104" xfId="7" applyNumberFormat="1" applyFont="1" applyFill="1" applyBorder="1" applyAlignment="1">
      <alignment horizontal="right"/>
    </xf>
    <xf numFmtId="165" fontId="46" fillId="5" borderId="74" xfId="7" applyNumberFormat="1" applyFont="1" applyFill="1" applyBorder="1" applyAlignment="1">
      <alignment horizontal="center"/>
    </xf>
    <xf numFmtId="165" fontId="46" fillId="5" borderId="76" xfId="7" applyNumberFormat="1" applyFont="1" applyFill="1" applyBorder="1" applyAlignment="1">
      <alignment horizontal="center" vertical="center"/>
    </xf>
    <xf numFmtId="165" fontId="46" fillId="5" borderId="74" xfId="7" applyNumberFormat="1" applyFont="1" applyFill="1" applyBorder="1" applyAlignment="1">
      <alignment horizontal="center" vertical="center"/>
    </xf>
    <xf numFmtId="0" fontId="46" fillId="5" borderId="3" xfId="31" applyFont="1" applyFill="1" applyBorder="1" applyAlignment="1">
      <alignment horizontal="center"/>
    </xf>
    <xf numFmtId="0" fontId="46" fillId="5" borderId="14" xfId="4" applyFont="1" applyFill="1" applyBorder="1" applyAlignment="1">
      <alignment horizontal="center"/>
    </xf>
    <xf numFmtId="165" fontId="46" fillId="5" borderId="0" xfId="7" applyNumberFormat="1" applyFont="1" applyFill="1" applyBorder="1" applyAlignment="1">
      <alignment horizontal="right"/>
    </xf>
    <xf numFmtId="165" fontId="46" fillId="5" borderId="52" xfId="7" applyNumberFormat="1" applyFont="1" applyFill="1" applyBorder="1" applyAlignment="1">
      <alignment horizontal="right"/>
    </xf>
    <xf numFmtId="165" fontId="46" fillId="5" borderId="47" xfId="7" applyNumberFormat="1" applyFont="1" applyFill="1" applyBorder="1" applyAlignment="1">
      <alignment horizontal="right"/>
    </xf>
    <xf numFmtId="165" fontId="46" fillId="5" borderId="3" xfId="7" applyNumberFormat="1" applyFont="1" applyFill="1" applyBorder="1" applyAlignment="1">
      <alignment horizontal="right"/>
    </xf>
    <xf numFmtId="165" fontId="46" fillId="5" borderId="53" xfId="7" applyNumberFormat="1" applyFont="1" applyFill="1" applyBorder="1" applyAlignment="1">
      <alignment horizontal="right"/>
    </xf>
    <xf numFmtId="165" fontId="46" fillId="5" borderId="14" xfId="7" applyNumberFormat="1" applyFont="1" applyFill="1" applyBorder="1" applyAlignment="1">
      <alignment horizontal="center"/>
    </xf>
    <xf numFmtId="165" fontId="46" fillId="5" borderId="4" xfId="7" applyNumberFormat="1" applyFont="1" applyFill="1" applyBorder="1" applyAlignment="1">
      <alignment horizontal="center" vertical="center"/>
    </xf>
    <xf numFmtId="165" fontId="46" fillId="5" borderId="14" xfId="7" applyNumberFormat="1" applyFont="1" applyFill="1" applyBorder="1" applyAlignment="1">
      <alignment horizontal="center" vertical="center"/>
    </xf>
    <xf numFmtId="165" fontId="46" fillId="0" borderId="4" xfId="7" applyNumberFormat="1" applyFont="1" applyBorder="1" applyAlignment="1">
      <alignment horizontal="center"/>
    </xf>
    <xf numFmtId="165" fontId="50" fillId="3" borderId="11" xfId="5" applyNumberFormat="1" applyFont="1" applyFill="1" applyBorder="1" applyAlignment="1">
      <alignment horizontal="center" vertical="center"/>
    </xf>
    <xf numFmtId="165" fontId="50" fillId="3" borderId="5" xfId="5" applyNumberFormat="1" applyFont="1" applyFill="1" applyBorder="1" applyAlignment="1">
      <alignment horizontal="center" vertical="center"/>
    </xf>
    <xf numFmtId="0" fontId="46" fillId="5" borderId="109" xfId="4" applyFont="1" applyFill="1" applyBorder="1" applyAlignment="1">
      <alignment horizontal="center"/>
    </xf>
    <xf numFmtId="165" fontId="46" fillId="5" borderId="102" xfId="5" applyNumberFormat="1" applyFont="1" applyFill="1" applyBorder="1" applyAlignment="1">
      <alignment horizontal="center"/>
    </xf>
    <xf numFmtId="165" fontId="46" fillId="5" borderId="103" xfId="5" applyNumberFormat="1" applyFont="1" applyFill="1" applyBorder="1"/>
    <xf numFmtId="165" fontId="46" fillId="5" borderId="103" xfId="5" applyNumberFormat="1" applyFont="1" applyFill="1" applyBorder="1" applyAlignment="1">
      <alignment horizontal="right"/>
    </xf>
    <xf numFmtId="165" fontId="46" fillId="5" borderId="104" xfId="5" applyNumberFormat="1" applyFont="1" applyFill="1" applyBorder="1" applyAlignment="1">
      <alignment horizontal="right"/>
    </xf>
    <xf numFmtId="165" fontId="46" fillId="5" borderId="102" xfId="5" applyNumberFormat="1" applyFont="1" applyFill="1" applyBorder="1"/>
    <xf numFmtId="165" fontId="46" fillId="5" borderId="102" xfId="5" applyNumberFormat="1" applyFont="1" applyFill="1" applyBorder="1" applyAlignment="1">
      <alignment horizontal="right"/>
    </xf>
    <xf numFmtId="165" fontId="50" fillId="5" borderId="104" xfId="5" applyNumberFormat="1" applyFont="1" applyFill="1" applyBorder="1"/>
    <xf numFmtId="0" fontId="50" fillId="9" borderId="100" xfId="4" applyFont="1" applyFill="1" applyBorder="1" applyAlignment="1">
      <alignment horizontal="center" wrapText="1"/>
    </xf>
    <xf numFmtId="165" fontId="46" fillId="9" borderId="22" xfId="5" applyNumberFormat="1" applyFont="1" applyFill="1" applyBorder="1" applyAlignment="1">
      <alignment horizontal="center"/>
    </xf>
    <xf numFmtId="165" fontId="50" fillId="9" borderId="23" xfId="5" applyNumberFormat="1" applyFont="1" applyFill="1" applyBorder="1" applyAlignment="1">
      <alignment vertical="center"/>
    </xf>
    <xf numFmtId="165" fontId="50" fillId="9" borderId="25" xfId="5" applyNumberFormat="1" applyFont="1" applyFill="1" applyBorder="1" applyAlignment="1">
      <alignment vertical="center"/>
    </xf>
    <xf numFmtId="165" fontId="50" fillId="9" borderId="22" xfId="5" applyNumberFormat="1" applyFont="1" applyFill="1" applyBorder="1" applyAlignment="1">
      <alignment vertical="center"/>
    </xf>
    <xf numFmtId="165" fontId="50" fillId="9" borderId="22" xfId="5" applyNumberFormat="1" applyFont="1" applyFill="1" applyBorder="1" applyAlignment="1">
      <alignment horizontal="center" vertical="center"/>
    </xf>
    <xf numFmtId="0" fontId="50" fillId="9" borderId="100" xfId="2" applyFont="1" applyFill="1" applyBorder="1" applyAlignment="1">
      <alignment horizontal="center" vertical="center" wrapText="1"/>
    </xf>
    <xf numFmtId="0" fontId="50" fillId="0" borderId="14" xfId="4" applyFont="1" applyBorder="1"/>
    <xf numFmtId="4" fontId="46" fillId="0" borderId="3" xfId="4" applyNumberFormat="1" applyFont="1" applyBorder="1"/>
    <xf numFmtId="4" fontId="46" fillId="0" borderId="14" xfId="4" applyNumberFormat="1" applyFont="1" applyBorder="1"/>
    <xf numFmtId="0" fontId="50" fillId="9" borderId="65" xfId="2" applyFont="1" applyFill="1" applyBorder="1" applyAlignment="1">
      <alignment horizontal="center" vertical="center"/>
    </xf>
    <xf numFmtId="0" fontId="46" fillId="0" borderId="110" xfId="2" applyFont="1" applyBorder="1" applyAlignment="1">
      <alignment horizontal="center" vertical="center"/>
    </xf>
    <xf numFmtId="0" fontId="46" fillId="0" borderId="115" xfId="2" applyFont="1" applyBorder="1" applyAlignment="1">
      <alignment horizontal="center" vertical="center"/>
    </xf>
    <xf numFmtId="4" fontId="46" fillId="0" borderId="110" xfId="4" applyNumberFormat="1" applyFont="1" applyBorder="1"/>
    <xf numFmtId="4" fontId="46" fillId="0" borderId="115" xfId="4" applyNumberFormat="1" applyFont="1" applyBorder="1"/>
    <xf numFmtId="4" fontId="46" fillId="0" borderId="126" xfId="4" applyNumberFormat="1" applyFont="1" applyBorder="1"/>
    <xf numFmtId="4" fontId="46" fillId="0" borderId="111" xfId="4" applyNumberFormat="1" applyFont="1" applyBorder="1"/>
    <xf numFmtId="3" fontId="46" fillId="0" borderId="113" xfId="4" applyNumberFormat="1" applyFont="1" applyBorder="1"/>
    <xf numFmtId="4" fontId="46" fillId="0" borderId="114" xfId="4" applyNumberFormat="1" applyFont="1" applyBorder="1"/>
    <xf numFmtId="0" fontId="46" fillId="0" borderId="114" xfId="4" applyFont="1" applyBorder="1"/>
    <xf numFmtId="0" fontId="46" fillId="0" borderId="77" xfId="2" applyFont="1" applyBorder="1" applyAlignment="1">
      <alignment horizontal="center" vertical="center"/>
    </xf>
    <xf numFmtId="0" fontId="46" fillId="0" borderId="78" xfId="2" applyFont="1" applyBorder="1" applyAlignment="1">
      <alignment horizontal="center" vertical="center"/>
    </xf>
    <xf numFmtId="4" fontId="46" fillId="0" borderId="77" xfId="4" applyNumberFormat="1" applyFont="1" applyBorder="1"/>
    <xf numFmtId="4" fontId="46" fillId="0" borderId="78" xfId="4" applyNumberFormat="1" applyFont="1" applyBorder="1"/>
    <xf numFmtId="4" fontId="46" fillId="0" borderId="92" xfId="4" applyNumberFormat="1" applyFont="1" applyBorder="1"/>
    <xf numFmtId="4" fontId="46" fillId="0" borderId="108" xfId="4" applyNumberFormat="1" applyFont="1" applyBorder="1"/>
    <xf numFmtId="3" fontId="46" fillId="0" borderId="94" xfId="4" applyNumberFormat="1" applyFont="1" applyBorder="1"/>
    <xf numFmtId="4" fontId="46" fillId="0" borderId="79" xfId="4" applyNumberFormat="1" applyFont="1" applyBorder="1"/>
    <xf numFmtId="0" fontId="46" fillId="0" borderId="79" xfId="4" applyFont="1" applyBorder="1"/>
    <xf numFmtId="0" fontId="50" fillId="0" borderId="14" xfId="2" applyFont="1" applyBorder="1" applyAlignment="1">
      <alignment vertical="center"/>
    </xf>
    <xf numFmtId="4" fontId="46" fillId="0" borderId="0" xfId="4" applyNumberFormat="1" applyFont="1" applyBorder="1" applyAlignment="1">
      <alignment horizontal="center"/>
    </xf>
    <xf numFmtId="3" fontId="46" fillId="0" borderId="54" xfId="4" applyNumberFormat="1" applyFont="1" applyBorder="1"/>
    <xf numFmtId="0" fontId="46" fillId="0" borderId="14" xfId="2" applyFont="1" applyBorder="1" applyAlignment="1">
      <alignment horizontal="center" vertical="center"/>
    </xf>
    <xf numFmtId="0" fontId="50" fillId="0" borderId="0" xfId="4" applyFont="1" applyAlignment="1">
      <alignment vertical="center"/>
    </xf>
    <xf numFmtId="3" fontId="46" fillId="0" borderId="115" xfId="4" applyNumberFormat="1" applyFont="1" applyBorder="1" applyAlignment="1">
      <alignment horizontal="center"/>
    </xf>
    <xf numFmtId="165" fontId="50" fillId="9" borderId="41" xfId="5" applyNumberFormat="1" applyFont="1" applyFill="1" applyBorder="1"/>
    <xf numFmtId="165" fontId="50" fillId="9" borderId="65" xfId="5" applyNumberFormat="1" applyFont="1" applyFill="1" applyBorder="1"/>
    <xf numFmtId="165" fontId="50" fillId="9" borderId="42" xfId="5" applyNumberFormat="1" applyFont="1" applyFill="1" applyBorder="1"/>
    <xf numFmtId="165" fontId="50" fillId="9" borderId="22" xfId="5" applyNumberFormat="1" applyFont="1" applyFill="1" applyBorder="1"/>
    <xf numFmtId="165" fontId="50" fillId="9" borderId="56" xfId="5" applyNumberFormat="1" applyFont="1" applyFill="1" applyBorder="1"/>
    <xf numFmtId="165" fontId="50" fillId="9" borderId="100" xfId="5" applyNumberFormat="1" applyFont="1" applyFill="1" applyBorder="1"/>
    <xf numFmtId="165" fontId="50" fillId="9" borderId="41" xfId="5" applyNumberFormat="1" applyFont="1" applyFill="1" applyBorder="1" applyAlignment="1">
      <alignment horizontal="center"/>
    </xf>
    <xf numFmtId="0" fontId="50" fillId="3" borderId="62" xfId="4" applyFont="1" applyFill="1" applyBorder="1" applyAlignment="1">
      <alignment horizontal="center" vertical="center"/>
    </xf>
    <xf numFmtId="0" fontId="50" fillId="3" borderId="62" xfId="4" applyFont="1" applyFill="1" applyBorder="1" applyAlignment="1">
      <alignment vertical="center"/>
    </xf>
    <xf numFmtId="4" fontId="50" fillId="3" borderId="101" xfId="4" applyNumberFormat="1" applyFont="1" applyFill="1" applyBorder="1" applyAlignment="1">
      <alignment vertical="center"/>
    </xf>
    <xf numFmtId="0" fontId="50" fillId="3" borderId="49" xfId="4" applyFont="1" applyFill="1" applyBorder="1" applyAlignment="1">
      <alignment vertical="center"/>
    </xf>
    <xf numFmtId="0" fontId="50" fillId="3" borderId="37" xfId="4" applyFont="1" applyFill="1" applyBorder="1" applyAlignment="1">
      <alignment vertical="center"/>
    </xf>
    <xf numFmtId="4" fontId="50" fillId="3" borderId="37" xfId="4" applyNumberFormat="1" applyFont="1" applyFill="1" applyBorder="1" applyAlignment="1">
      <alignment vertical="center"/>
    </xf>
    <xf numFmtId="4" fontId="50" fillId="3" borderId="38" xfId="4" applyNumberFormat="1" applyFont="1" applyFill="1" applyBorder="1" applyAlignment="1">
      <alignment vertical="center"/>
    </xf>
    <xf numFmtId="3" fontId="50" fillId="3" borderId="35" xfId="4" applyNumberFormat="1" applyFont="1" applyFill="1" applyBorder="1" applyAlignment="1">
      <alignment vertical="center"/>
    </xf>
    <xf numFmtId="4" fontId="50" fillId="3" borderId="83" xfId="4" applyNumberFormat="1" applyFont="1" applyFill="1" applyBorder="1" applyAlignment="1">
      <alignment vertical="center"/>
    </xf>
    <xf numFmtId="0" fontId="50" fillId="9" borderId="100" xfId="4" applyFont="1" applyFill="1" applyBorder="1" applyAlignment="1">
      <alignment horizontal="center"/>
    </xf>
    <xf numFmtId="0" fontId="53" fillId="0" borderId="6" xfId="4" applyFont="1" applyBorder="1"/>
    <xf numFmtId="4" fontId="53" fillId="0" borderId="45" xfId="4" applyNumberFormat="1" applyFont="1" applyBorder="1"/>
    <xf numFmtId="0" fontId="9" fillId="7" borderId="23" xfId="4" applyFont="1" applyFill="1" applyBorder="1" applyAlignment="1">
      <alignment horizontal="center" vertical="center" wrapText="1"/>
    </xf>
    <xf numFmtId="172" fontId="12" fillId="0" borderId="90" xfId="17" applyNumberFormat="1" applyFont="1" applyFill="1" applyBorder="1" applyAlignment="1">
      <alignment vertical="center"/>
    </xf>
    <xf numFmtId="172" fontId="12" fillId="0" borderId="94" xfId="17" applyNumberFormat="1" applyFont="1" applyFill="1" applyBorder="1" applyAlignment="1">
      <alignment vertical="center"/>
    </xf>
    <xf numFmtId="165" fontId="12" fillId="0" borderId="9" xfId="7" applyNumberFormat="1" applyFont="1" applyFill="1" applyBorder="1" applyAlignment="1">
      <alignment vertical="center"/>
    </xf>
    <xf numFmtId="4" fontId="12" fillId="0" borderId="0" xfId="0" applyNumberFormat="1" applyFont="1"/>
    <xf numFmtId="165" fontId="4" fillId="0" borderId="0" xfId="44" applyNumberFormat="1" applyFont="1" applyFill="1" applyBorder="1" applyAlignment="1">
      <alignment vertical="center"/>
    </xf>
    <xf numFmtId="165" fontId="0" fillId="0" borderId="0" xfId="0" applyNumberFormat="1"/>
    <xf numFmtId="165" fontId="12" fillId="0" borderId="28" xfId="5" applyNumberFormat="1" applyFont="1" applyFill="1" applyBorder="1" applyAlignment="1">
      <alignment vertical="center"/>
    </xf>
    <xf numFmtId="165" fontId="12" fillId="0" borderId="28" xfId="44" applyNumberFormat="1" applyFont="1" applyFill="1" applyBorder="1" applyAlignment="1">
      <alignment vertical="center"/>
    </xf>
    <xf numFmtId="0" fontId="12" fillId="0" borderId="28" xfId="45" applyFont="1" applyFill="1" applyBorder="1" applyAlignment="1">
      <alignment vertical="center" wrapText="1"/>
    </xf>
    <xf numFmtId="9" fontId="5" fillId="0" borderId="31" xfId="4" applyNumberFormat="1" applyFont="1" applyBorder="1" applyAlignment="1">
      <alignment horizontal="center" vertical="center" wrapText="1"/>
    </xf>
    <xf numFmtId="0" fontId="5" fillId="0" borderId="85" xfId="4" applyFont="1" applyBorder="1" applyAlignment="1">
      <alignment horizontal="center" vertical="center" wrapText="1"/>
    </xf>
    <xf numFmtId="0" fontId="5" fillId="0" borderId="26" xfId="4" applyFont="1" applyBorder="1" applyAlignment="1">
      <alignment horizontal="center" vertical="center" wrapText="1"/>
    </xf>
    <xf numFmtId="0" fontId="5" fillId="0" borderId="28" xfId="4" applyFont="1" applyBorder="1" applyAlignment="1">
      <alignment horizontal="center" vertical="center" wrapText="1"/>
    </xf>
    <xf numFmtId="0" fontId="19" fillId="0" borderId="14" xfId="4" applyFont="1" applyBorder="1" applyAlignment="1">
      <alignment horizontal="center" vertical="center"/>
    </xf>
    <xf numFmtId="0" fontId="5" fillId="0" borderId="22" xfId="4" applyFont="1" applyBorder="1" applyAlignment="1">
      <alignment horizontal="center" vertical="center" wrapText="1"/>
    </xf>
    <xf numFmtId="172" fontId="13" fillId="2" borderId="39" xfId="10" applyNumberFormat="1" applyFont="1" applyFill="1" applyBorder="1" applyAlignment="1">
      <alignment vertical="center"/>
    </xf>
    <xf numFmtId="172" fontId="13" fillId="2" borderId="16" xfId="10" applyNumberFormat="1" applyFont="1" applyFill="1" applyBorder="1" applyAlignment="1">
      <alignment vertical="center"/>
    </xf>
    <xf numFmtId="172" fontId="12" fillId="0" borderId="118" xfId="17" applyNumberFormat="1" applyFont="1" applyFill="1" applyBorder="1" applyAlignment="1">
      <alignment vertical="center"/>
    </xf>
    <xf numFmtId="172" fontId="12" fillId="0" borderId="118" xfId="10" applyNumberFormat="1" applyFont="1" applyFill="1" applyBorder="1" applyAlignment="1">
      <alignment vertical="center"/>
    </xf>
    <xf numFmtId="172" fontId="12" fillId="0" borderId="119" xfId="10" applyNumberFormat="1" applyFont="1" applyFill="1" applyBorder="1" applyAlignment="1">
      <alignment vertical="center"/>
    </xf>
    <xf numFmtId="172" fontId="12" fillId="0" borderId="106" xfId="17" applyNumberFormat="1" applyFont="1" applyFill="1" applyBorder="1" applyAlignment="1">
      <alignment vertical="center"/>
    </xf>
    <xf numFmtId="172" fontId="12" fillId="0" borderId="106" xfId="10" applyNumberFormat="1" applyFont="1" applyFill="1" applyBorder="1" applyAlignment="1">
      <alignment vertical="center"/>
    </xf>
    <xf numFmtId="172" fontId="12" fillId="0" borderId="107" xfId="10" applyNumberFormat="1" applyFont="1" applyFill="1" applyBorder="1" applyAlignment="1">
      <alignment vertical="center"/>
    </xf>
    <xf numFmtId="165" fontId="12" fillId="0" borderId="47" xfId="7" applyNumberFormat="1" applyFont="1" applyFill="1" applyBorder="1" applyAlignment="1">
      <alignment vertical="center"/>
    </xf>
    <xf numFmtId="172" fontId="12" fillId="0" borderId="121" xfId="10" applyNumberFormat="1" applyFont="1" applyFill="1" applyBorder="1" applyAlignment="1">
      <alignment vertical="center"/>
    </xf>
    <xf numFmtId="172" fontId="12" fillId="0" borderId="122" xfId="10" applyNumberFormat="1" applyFont="1" applyFill="1" applyBorder="1" applyAlignment="1">
      <alignment vertical="center"/>
    </xf>
    <xf numFmtId="172" fontId="12" fillId="0" borderId="90" xfId="10" applyNumberFormat="1" applyFont="1" applyFill="1" applyBorder="1" applyAlignment="1">
      <alignment vertical="center"/>
    </xf>
    <xf numFmtId="9" fontId="12" fillId="0" borderId="119" xfId="11" applyFont="1" applyFill="1" applyBorder="1" applyAlignment="1">
      <alignment vertical="center"/>
    </xf>
    <xf numFmtId="172" fontId="12" fillId="0" borderId="94" xfId="10" applyNumberFormat="1" applyFont="1" applyFill="1" applyBorder="1" applyAlignment="1">
      <alignment vertical="center"/>
    </xf>
    <xf numFmtId="9" fontId="12" fillId="0" borderId="107" xfId="11" applyFont="1" applyFill="1" applyBorder="1" applyAlignment="1">
      <alignment vertical="center"/>
    </xf>
    <xf numFmtId="172" fontId="12" fillId="0" borderId="98" xfId="10" applyNumberFormat="1" applyFont="1" applyFill="1" applyBorder="1" applyAlignment="1">
      <alignment vertical="center"/>
    </xf>
    <xf numFmtId="9" fontId="12" fillId="0" borderId="122" xfId="11" applyFont="1" applyFill="1" applyBorder="1" applyAlignment="1">
      <alignment vertical="center"/>
    </xf>
    <xf numFmtId="9" fontId="13" fillId="2" borderId="40" xfId="11" applyFont="1" applyFill="1" applyBorder="1" applyAlignment="1">
      <alignment vertical="center"/>
    </xf>
    <xf numFmtId="172" fontId="12" fillId="0" borderId="90" xfId="2" applyNumberFormat="1" applyFont="1" applyFill="1" applyBorder="1" applyAlignment="1">
      <alignment vertical="center"/>
    </xf>
    <xf numFmtId="172" fontId="12" fillId="0" borderId="118" xfId="2" applyNumberFormat="1" applyFont="1" applyFill="1" applyBorder="1" applyAlignment="1">
      <alignment vertical="center"/>
    </xf>
    <xf numFmtId="172" fontId="12" fillId="0" borderId="119" xfId="2" applyNumberFormat="1" applyFont="1" applyFill="1" applyBorder="1" applyAlignment="1">
      <alignment vertical="center"/>
    </xf>
    <xf numFmtId="172" fontId="12" fillId="0" borderId="94" xfId="2" applyNumberFormat="1" applyFont="1" applyFill="1" applyBorder="1" applyAlignment="1">
      <alignment vertical="center"/>
    </xf>
    <xf numFmtId="172" fontId="12" fillId="0" borderId="106" xfId="2" applyNumberFormat="1" applyFont="1" applyFill="1" applyBorder="1" applyAlignment="1">
      <alignment vertical="center"/>
    </xf>
    <xf numFmtId="172" fontId="12" fillId="0" borderId="107" xfId="2" applyNumberFormat="1" applyFont="1" applyFill="1" applyBorder="1" applyAlignment="1">
      <alignment vertical="center"/>
    </xf>
    <xf numFmtId="172" fontId="12" fillId="0" borderId="98" xfId="2" applyNumberFormat="1" applyFont="1" applyFill="1" applyBorder="1" applyAlignment="1">
      <alignment vertical="center"/>
    </xf>
    <xf numFmtId="172" fontId="12" fillId="0" borderId="121" xfId="2" applyNumberFormat="1" applyFont="1" applyFill="1" applyBorder="1" applyAlignment="1">
      <alignment vertical="center"/>
    </xf>
    <xf numFmtId="172" fontId="12" fillId="0" borderId="122" xfId="2" applyNumberFormat="1" applyFont="1" applyFill="1" applyBorder="1" applyAlignment="1">
      <alignment vertical="center"/>
    </xf>
    <xf numFmtId="172" fontId="13" fillId="2" borderId="16" xfId="2" applyNumberFormat="1" applyFont="1" applyFill="1" applyBorder="1" applyAlignment="1">
      <alignment vertical="center"/>
    </xf>
    <xf numFmtId="172" fontId="13" fillId="2" borderId="40" xfId="2" applyNumberFormat="1" applyFont="1" applyFill="1" applyBorder="1" applyAlignment="1">
      <alignment vertical="center"/>
    </xf>
    <xf numFmtId="165" fontId="12" fillId="0" borderId="90" xfId="7" applyNumberFormat="1" applyFont="1" applyFill="1" applyBorder="1" applyAlignment="1">
      <alignment vertical="center"/>
    </xf>
    <xf numFmtId="165" fontId="12" fillId="0" borderId="118" xfId="7" applyNumberFormat="1" applyFont="1" applyFill="1" applyBorder="1" applyAlignment="1">
      <alignment vertical="center"/>
    </xf>
    <xf numFmtId="165" fontId="12" fillId="0" borderId="94" xfId="7" applyNumberFormat="1" applyFont="1" applyFill="1" applyBorder="1" applyAlignment="1">
      <alignment vertical="center"/>
    </xf>
    <xf numFmtId="165" fontId="12" fillId="0" borderId="106" xfId="7" applyNumberFormat="1" applyFont="1" applyFill="1" applyBorder="1" applyAlignment="1">
      <alignment vertical="center"/>
    </xf>
    <xf numFmtId="165" fontId="12" fillId="0" borderId="54" xfId="7" applyNumberFormat="1" applyFont="1" applyFill="1" applyBorder="1" applyAlignment="1">
      <alignment vertical="center"/>
    </xf>
    <xf numFmtId="165" fontId="12" fillId="0" borderId="48" xfId="7" applyNumberFormat="1" applyFont="1" applyFill="1" applyBorder="1" applyAlignment="1">
      <alignment vertical="center"/>
    </xf>
    <xf numFmtId="9" fontId="13" fillId="4" borderId="40" xfId="11" applyFont="1" applyFill="1" applyBorder="1" applyAlignment="1">
      <alignment vertical="center"/>
    </xf>
    <xf numFmtId="172" fontId="13" fillId="4" borderId="39" xfId="10" applyNumberFormat="1" applyFont="1" applyFill="1" applyBorder="1" applyAlignment="1">
      <alignment vertical="center"/>
    </xf>
    <xf numFmtId="0" fontId="5" fillId="0" borderId="86" xfId="4" applyFont="1" applyBorder="1" applyAlignment="1">
      <alignment horizontal="center" vertical="center" wrapText="1"/>
    </xf>
    <xf numFmtId="0" fontId="19" fillId="0" borderId="12" xfId="4" applyFont="1" applyBorder="1" applyAlignment="1">
      <alignment vertical="center" wrapText="1"/>
    </xf>
    <xf numFmtId="0" fontId="19" fillId="0" borderId="65" xfId="4" applyFont="1" applyBorder="1" applyAlignment="1">
      <alignment vertical="center" wrapText="1"/>
    </xf>
    <xf numFmtId="0" fontId="19" fillId="0" borderId="65" xfId="4" applyFont="1" applyBorder="1" applyAlignment="1">
      <alignment vertical="center"/>
    </xf>
    <xf numFmtId="0" fontId="5" fillId="0" borderId="23" xfId="4" applyFont="1" applyBorder="1" applyAlignment="1">
      <alignment horizontal="center" vertical="center" wrapText="1"/>
    </xf>
    <xf numFmtId="0" fontId="5" fillId="0" borderId="25" xfId="4" applyFont="1" applyBorder="1" applyAlignment="1">
      <alignment horizontal="center" vertical="center" wrapText="1"/>
    </xf>
    <xf numFmtId="0" fontId="5" fillId="0" borderId="11" xfId="4" applyFont="1" applyBorder="1"/>
    <xf numFmtId="165" fontId="50" fillId="0" borderId="0" xfId="5" applyNumberFormat="1" applyFont="1" applyFill="1" applyBorder="1" applyAlignment="1">
      <alignment horizontal="center" vertical="center"/>
    </xf>
    <xf numFmtId="0" fontId="46" fillId="0" borderId="0" xfId="4" applyFont="1" applyFill="1" applyAlignment="1">
      <alignment vertical="center"/>
    </xf>
    <xf numFmtId="0" fontId="13" fillId="0" borderId="0" xfId="0" applyFont="1" applyBorder="1"/>
    <xf numFmtId="0" fontId="4" fillId="5" borderId="1" xfId="0" applyFont="1" applyFill="1" applyBorder="1" applyAlignment="1">
      <alignment horizontal="left" vertical="center" wrapText="1"/>
    </xf>
    <xf numFmtId="0" fontId="4" fillId="5" borderId="72" xfId="0" applyFont="1" applyFill="1" applyBorder="1" applyAlignment="1">
      <alignment horizontal="left" vertical="center" wrapText="1"/>
    </xf>
    <xf numFmtId="0" fontId="4" fillId="5" borderId="27" xfId="0" applyFont="1" applyFill="1" applyBorder="1" applyAlignment="1">
      <alignment horizontal="left" vertical="center" wrapText="1"/>
    </xf>
    <xf numFmtId="0" fontId="19" fillId="0" borderId="12" xfId="4" applyFont="1" applyBorder="1" applyAlignment="1">
      <alignment horizontal="center" vertical="center"/>
    </xf>
    <xf numFmtId="0" fontId="19" fillId="0" borderId="14" xfId="4" applyFont="1" applyBorder="1" applyAlignment="1">
      <alignment horizontal="center" vertical="center"/>
    </xf>
    <xf numFmtId="0" fontId="19" fillId="0" borderId="11" xfId="4" applyFont="1" applyBorder="1" applyAlignment="1">
      <alignment horizontal="center" vertical="center"/>
    </xf>
    <xf numFmtId="0" fontId="9" fillId="7" borderId="33" xfId="4" applyFont="1" applyFill="1" applyBorder="1" applyAlignment="1">
      <alignment horizontal="center" vertical="center" wrapText="1"/>
    </xf>
    <xf numFmtId="0" fontId="9" fillId="7" borderId="63" xfId="4" applyFont="1" applyFill="1" applyBorder="1" applyAlignment="1">
      <alignment horizontal="center" vertical="center" wrapText="1"/>
    </xf>
    <xf numFmtId="0" fontId="9" fillId="7" borderId="46" xfId="4" applyFont="1" applyFill="1" applyBorder="1" applyAlignment="1">
      <alignment horizontal="center" vertical="center" wrapText="1"/>
    </xf>
    <xf numFmtId="0" fontId="9" fillId="7" borderId="23" xfId="4" applyFont="1" applyFill="1" applyBorder="1" applyAlignment="1">
      <alignment horizontal="center" vertical="center" wrapText="1"/>
    </xf>
    <xf numFmtId="0" fontId="9" fillId="7" borderId="57" xfId="4" applyFont="1" applyFill="1" applyBorder="1" applyAlignment="1">
      <alignment horizontal="center" vertical="center" wrapText="1"/>
    </xf>
    <xf numFmtId="0" fontId="9" fillId="7" borderId="22" xfId="4" applyFont="1" applyFill="1" applyBorder="1" applyAlignment="1">
      <alignment horizontal="center" vertical="center" wrapText="1"/>
    </xf>
    <xf numFmtId="0" fontId="5" fillId="0" borderId="57" xfId="4" applyFont="1" applyBorder="1" applyAlignment="1">
      <alignment horizontal="center" vertical="center" wrapText="1"/>
    </xf>
    <xf numFmtId="0" fontId="5" fillId="0" borderId="22" xfId="4" applyFont="1" applyBorder="1" applyAlignment="1">
      <alignment horizontal="center" vertical="center" wrapText="1"/>
    </xf>
    <xf numFmtId="0" fontId="5" fillId="0" borderId="85" xfId="4" applyFont="1" applyBorder="1" applyAlignment="1">
      <alignment horizontal="center" vertical="center" wrapText="1"/>
    </xf>
    <xf numFmtId="0" fontId="5" fillId="0" borderId="54" xfId="4" applyFont="1" applyBorder="1" applyAlignment="1">
      <alignment horizontal="center" vertical="center" wrapText="1"/>
    </xf>
    <xf numFmtId="0" fontId="5" fillId="0" borderId="9" xfId="4" applyFont="1" applyBorder="1" applyAlignment="1">
      <alignment horizontal="center" vertical="center" wrapText="1"/>
    </xf>
    <xf numFmtId="0" fontId="5" fillId="0" borderId="81" xfId="4" applyFont="1" applyBorder="1" applyAlignment="1">
      <alignment horizontal="center" vertical="center" wrapText="1"/>
    </xf>
    <xf numFmtId="0" fontId="5" fillId="0" borderId="14" xfId="4" applyFont="1" applyBorder="1" applyAlignment="1">
      <alignment horizontal="center" vertical="center" wrapText="1"/>
    </xf>
    <xf numFmtId="0" fontId="5" fillId="0" borderId="65" xfId="4" applyFont="1" applyBorder="1" applyAlignment="1">
      <alignment horizontal="center" vertical="center" wrapText="1"/>
    </xf>
    <xf numFmtId="0" fontId="5" fillId="0" borderId="81" xfId="4" quotePrefix="1" applyFont="1" applyBorder="1" applyAlignment="1">
      <alignment horizontal="center" vertical="center" wrapText="1"/>
    </xf>
    <xf numFmtId="0" fontId="5" fillId="0" borderId="14" xfId="4" quotePrefix="1" applyFont="1" applyBorder="1" applyAlignment="1">
      <alignment horizontal="center" vertical="center" wrapText="1"/>
    </xf>
    <xf numFmtId="0" fontId="5" fillId="0" borderId="11" xfId="4" quotePrefix="1" applyFont="1" applyBorder="1" applyAlignment="1">
      <alignment horizontal="center" vertical="center" wrapText="1"/>
    </xf>
    <xf numFmtId="0" fontId="19" fillId="0" borderId="14" xfId="4" applyFont="1" applyBorder="1" applyAlignment="1">
      <alignment horizontal="center" vertical="center" wrapText="1"/>
    </xf>
    <xf numFmtId="0" fontId="19" fillId="0" borderId="11" xfId="4" applyFont="1" applyBorder="1" applyAlignment="1">
      <alignment horizontal="center" vertical="center" wrapText="1"/>
    </xf>
    <xf numFmtId="0" fontId="5" fillId="0" borderId="28" xfId="4" applyFont="1" applyBorder="1" applyAlignment="1">
      <alignment horizontal="center" vertical="center" wrapText="1"/>
    </xf>
    <xf numFmtId="166" fontId="5" fillId="0" borderId="34" xfId="4" applyNumberFormat="1" applyFont="1" applyBorder="1" applyAlignment="1">
      <alignment horizontal="center" vertical="center" wrapText="1"/>
    </xf>
    <xf numFmtId="166" fontId="5" fillId="0" borderId="23" xfId="4" applyNumberFormat="1" applyFont="1" applyBorder="1" applyAlignment="1">
      <alignment horizontal="center" vertical="center" wrapText="1"/>
    </xf>
    <xf numFmtId="0" fontId="19" fillId="0" borderId="12" xfId="4" applyFont="1" applyBorder="1" applyAlignment="1">
      <alignment horizontal="center" vertical="center" wrapText="1"/>
    </xf>
    <xf numFmtId="9" fontId="5" fillId="0" borderId="28" xfId="4" applyNumberFormat="1" applyFont="1" applyBorder="1" applyAlignment="1">
      <alignment horizontal="center" vertical="center" wrapText="1"/>
    </xf>
    <xf numFmtId="166" fontId="5" fillId="0" borderId="29" xfId="4" applyNumberFormat="1" applyFont="1" applyBorder="1" applyAlignment="1">
      <alignment horizontal="center" vertical="center" wrapText="1"/>
    </xf>
    <xf numFmtId="49" fontId="5" fillId="0" borderId="28" xfId="4" applyNumberFormat="1" applyFont="1" applyBorder="1" applyAlignment="1">
      <alignment horizontal="center" vertical="center" wrapText="1"/>
    </xf>
    <xf numFmtId="9" fontId="5" fillId="5" borderId="28" xfId="4" applyNumberFormat="1" applyFont="1" applyFill="1" applyBorder="1" applyAlignment="1">
      <alignment horizontal="center" vertical="center" wrapText="1"/>
    </xf>
    <xf numFmtId="0" fontId="5" fillId="5" borderId="28" xfId="4" applyFont="1" applyFill="1" applyBorder="1" applyAlignment="1">
      <alignment horizontal="center" vertical="center" wrapText="1"/>
    </xf>
    <xf numFmtId="0" fontId="5" fillId="0" borderId="26" xfId="4" applyFont="1" applyBorder="1" applyAlignment="1">
      <alignment horizontal="center" vertical="center" wrapText="1"/>
    </xf>
    <xf numFmtId="0" fontId="5" fillId="0" borderId="35" xfId="4" applyFont="1" applyBorder="1" applyAlignment="1">
      <alignment horizontal="center" vertical="center" wrapText="1"/>
    </xf>
    <xf numFmtId="49" fontId="5" fillId="0" borderId="12" xfId="3" applyFont="1" applyBorder="1" applyAlignment="1">
      <alignment horizontal="left" vertical="center"/>
    </xf>
    <xf numFmtId="49" fontId="5" fillId="0" borderId="65" xfId="3" applyFont="1" applyBorder="1" applyAlignment="1">
      <alignment horizontal="left" vertical="center"/>
    </xf>
    <xf numFmtId="49" fontId="9" fillId="7" borderId="12" xfId="3" applyNumberFormat="1" applyFont="1" applyFill="1" applyBorder="1" applyAlignment="1" applyProtection="1">
      <alignment horizontal="center" vertical="center" wrapText="1"/>
    </xf>
    <xf numFmtId="49" fontId="9" fillId="7" borderId="11" xfId="3" applyNumberFormat="1" applyFont="1" applyFill="1" applyBorder="1" applyAlignment="1" applyProtection="1">
      <alignment horizontal="center" vertical="center" wrapText="1"/>
    </xf>
    <xf numFmtId="49" fontId="9" fillId="7" borderId="6" xfId="3" applyFont="1" applyFill="1" applyBorder="1" applyAlignment="1">
      <alignment horizontal="center" vertical="center" wrapText="1"/>
    </xf>
    <xf numFmtId="49" fontId="9" fillId="7" borderId="45" xfId="3" applyFont="1" applyFill="1" applyBorder="1" applyAlignment="1">
      <alignment horizontal="center" vertical="center" wrapText="1"/>
    </xf>
    <xf numFmtId="49" fontId="9" fillId="7" borderId="21" xfId="3" applyFont="1" applyFill="1" applyBorder="1" applyAlignment="1">
      <alignment horizontal="center" vertical="center" wrapText="1"/>
    </xf>
    <xf numFmtId="0" fontId="9" fillId="7" borderId="19" xfId="0" applyFont="1" applyFill="1" applyBorder="1" applyAlignment="1">
      <alignment horizontal="center" wrapText="1"/>
    </xf>
    <xf numFmtId="0" fontId="9" fillId="7" borderId="20" xfId="0" applyFont="1" applyFill="1" applyBorder="1" applyAlignment="1">
      <alignment horizontal="center" wrapText="1"/>
    </xf>
    <xf numFmtId="0" fontId="9" fillId="7" borderId="18" xfId="0" applyFont="1" applyFill="1" applyBorder="1" applyAlignment="1">
      <alignment horizontal="center" wrapText="1"/>
    </xf>
    <xf numFmtId="0" fontId="9" fillId="7" borderId="6" xfId="0" applyFont="1" applyFill="1" applyBorder="1" applyAlignment="1">
      <alignment horizontal="center" wrapText="1"/>
    </xf>
    <xf numFmtId="0" fontId="9" fillId="7" borderId="45" xfId="0" applyFont="1" applyFill="1" applyBorder="1" applyAlignment="1">
      <alignment horizontal="center" wrapText="1"/>
    </xf>
    <xf numFmtId="0" fontId="9" fillId="7" borderId="12" xfId="0" applyFont="1" applyFill="1" applyBorder="1" applyAlignment="1">
      <alignment horizontal="center" vertical="center"/>
    </xf>
    <xf numFmtId="0" fontId="9" fillId="7" borderId="11" xfId="0" applyFont="1" applyFill="1" applyBorder="1" applyAlignment="1">
      <alignment horizontal="center" vertical="center"/>
    </xf>
    <xf numFmtId="0" fontId="20" fillId="7" borderId="19" xfId="0" applyFont="1" applyFill="1" applyBorder="1" applyAlignment="1">
      <alignment horizontal="center"/>
    </xf>
    <xf numFmtId="0" fontId="20" fillId="7" borderId="18" xfId="0" applyFont="1" applyFill="1" applyBorder="1" applyAlignment="1">
      <alignment horizontal="center"/>
    </xf>
    <xf numFmtId="0" fontId="20" fillId="7" borderId="5" xfId="0" applyFont="1" applyFill="1" applyBorder="1" applyAlignment="1">
      <alignment horizontal="center"/>
    </xf>
    <xf numFmtId="0" fontId="20" fillId="7" borderId="20" xfId="0" applyFont="1" applyFill="1" applyBorder="1" applyAlignment="1">
      <alignment horizontal="center"/>
    </xf>
    <xf numFmtId="0" fontId="20" fillId="7" borderId="5" xfId="0" applyFont="1" applyFill="1" applyBorder="1" applyAlignment="1">
      <alignment horizontal="center" vertical="center"/>
    </xf>
    <xf numFmtId="0" fontId="20" fillId="7" borderId="11" xfId="0" applyFont="1" applyFill="1" applyBorder="1" applyAlignment="1">
      <alignment horizontal="center" vertical="center"/>
    </xf>
    <xf numFmtId="49" fontId="13" fillId="7" borderId="32" xfId="3" applyFont="1" applyFill="1" applyBorder="1" applyAlignment="1">
      <alignment horizontal="center" vertical="center" wrapText="1"/>
    </xf>
    <xf numFmtId="49" fontId="13" fillId="7" borderId="31" xfId="3" applyFont="1" applyFill="1" applyBorder="1" applyAlignment="1">
      <alignment horizontal="center" vertical="center" wrapText="1"/>
    </xf>
    <xf numFmtId="0" fontId="13" fillId="7" borderId="12" xfId="0" applyFont="1" applyFill="1" applyBorder="1" applyAlignment="1">
      <alignment horizontal="center" vertical="center"/>
    </xf>
    <xf numFmtId="0" fontId="13" fillId="7" borderId="11" xfId="0" applyFont="1" applyFill="1" applyBorder="1" applyAlignment="1">
      <alignment horizontal="center" vertical="center"/>
    </xf>
    <xf numFmtId="49" fontId="13" fillId="7" borderId="30" xfId="3" applyFont="1" applyFill="1" applyBorder="1" applyAlignment="1">
      <alignment horizontal="center" vertical="center"/>
    </xf>
    <xf numFmtId="49" fontId="13" fillId="7" borderId="32" xfId="3" applyFont="1" applyFill="1" applyBorder="1" applyAlignment="1">
      <alignment horizontal="center" vertical="center"/>
    </xf>
    <xf numFmtId="49" fontId="13" fillId="7" borderId="31" xfId="3" applyFont="1" applyFill="1" applyBorder="1" applyAlignment="1">
      <alignment horizontal="center" vertical="center"/>
    </xf>
    <xf numFmtId="49" fontId="13" fillId="7" borderId="30" xfId="3" applyFont="1" applyFill="1" applyBorder="1" applyAlignment="1">
      <alignment horizontal="center" vertical="center" wrapText="1"/>
    </xf>
    <xf numFmtId="49" fontId="13" fillId="7" borderId="63" xfId="3" applyFont="1" applyFill="1" applyBorder="1" applyAlignment="1">
      <alignment horizontal="center" vertical="center" wrapText="1"/>
    </xf>
    <xf numFmtId="0" fontId="13" fillId="7" borderId="12" xfId="0" applyFont="1" applyFill="1" applyBorder="1" applyAlignment="1">
      <alignment horizontal="center" vertical="center" wrapText="1"/>
    </xf>
    <xf numFmtId="0" fontId="13" fillId="7" borderId="11" xfId="0" applyFont="1" applyFill="1" applyBorder="1" applyAlignment="1">
      <alignment horizontal="center" vertical="center" wrapText="1"/>
    </xf>
    <xf numFmtId="0" fontId="52" fillId="7" borderId="60" xfId="2" applyFont="1" applyFill="1" applyBorder="1" applyAlignment="1">
      <alignment horizontal="center" vertical="center"/>
    </xf>
    <xf numFmtId="0" fontId="52" fillId="7" borderId="64" xfId="2" applyFont="1" applyFill="1" applyBorder="1" applyAlignment="1">
      <alignment horizontal="center" vertical="center"/>
    </xf>
    <xf numFmtId="0" fontId="52" fillId="7" borderId="58" xfId="2" applyFont="1" applyFill="1" applyBorder="1" applyAlignment="1">
      <alignment horizontal="center" vertical="center"/>
    </xf>
    <xf numFmtId="0" fontId="38" fillId="7" borderId="60" xfId="2" applyFont="1" applyFill="1" applyBorder="1" applyAlignment="1">
      <alignment horizontal="center" vertical="center"/>
    </xf>
    <xf numFmtId="0" fontId="38" fillId="7" borderId="64" xfId="2" applyFont="1" applyFill="1" applyBorder="1" applyAlignment="1">
      <alignment horizontal="center" vertical="center"/>
    </xf>
    <xf numFmtId="0" fontId="38" fillId="7" borderId="58" xfId="2" applyFont="1" applyFill="1" applyBorder="1" applyAlignment="1">
      <alignment horizontal="center" vertical="center"/>
    </xf>
    <xf numFmtId="0" fontId="13" fillId="7" borderId="45" xfId="2" applyFont="1" applyFill="1" applyBorder="1" applyAlignment="1">
      <alignment horizontal="center" vertical="center"/>
    </xf>
    <xf numFmtId="0" fontId="13" fillId="7" borderId="19" xfId="2" applyFont="1" applyFill="1" applyBorder="1" applyAlignment="1">
      <alignment horizontal="center" vertical="center"/>
    </xf>
    <xf numFmtId="0" fontId="13" fillId="7" borderId="20" xfId="2" applyFont="1" applyFill="1" applyBorder="1" applyAlignment="1">
      <alignment horizontal="center" vertical="center"/>
    </xf>
    <xf numFmtId="0" fontId="13" fillId="7" borderId="18" xfId="2" applyFont="1" applyFill="1" applyBorder="1" applyAlignment="1">
      <alignment horizontal="center" vertical="center"/>
    </xf>
    <xf numFmtId="0" fontId="50" fillId="7" borderId="45" xfId="2" applyFont="1" applyFill="1" applyBorder="1" applyAlignment="1">
      <alignment horizontal="center" vertical="center"/>
    </xf>
    <xf numFmtId="0" fontId="50" fillId="7" borderId="19" xfId="2" applyFont="1" applyFill="1" applyBorder="1" applyAlignment="1">
      <alignment horizontal="center" vertical="center"/>
    </xf>
    <xf numFmtId="0" fontId="50" fillId="7" borderId="20" xfId="2" applyFont="1" applyFill="1" applyBorder="1" applyAlignment="1">
      <alignment horizontal="center" vertical="center"/>
    </xf>
    <xf numFmtId="0" fontId="50" fillId="7" borderId="18" xfId="2" applyFont="1" applyFill="1" applyBorder="1" applyAlignment="1">
      <alignment horizontal="center" vertical="center"/>
    </xf>
    <xf numFmtId="0" fontId="13" fillId="7" borderId="12" xfId="4" applyFont="1" applyFill="1" applyBorder="1" applyAlignment="1">
      <alignment horizontal="center" vertical="center" wrapText="1"/>
    </xf>
    <xf numFmtId="0" fontId="13" fillId="7" borderId="3" xfId="4" applyFont="1" applyFill="1" applyBorder="1" applyAlignment="1">
      <alignment horizontal="center" vertical="center" wrapText="1"/>
    </xf>
    <xf numFmtId="0" fontId="12" fillId="7" borderId="7" xfId="4" applyFont="1" applyFill="1" applyBorder="1" applyAlignment="1">
      <alignment horizontal="center" vertical="center" wrapText="1"/>
    </xf>
    <xf numFmtId="0" fontId="13" fillId="7" borderId="20" xfId="4" applyFont="1" applyFill="1" applyBorder="1" applyAlignment="1">
      <alignment horizontal="center" vertical="center"/>
    </xf>
    <xf numFmtId="0" fontId="13" fillId="7" borderId="18" xfId="4" applyFont="1" applyFill="1" applyBorder="1" applyAlignment="1">
      <alignment horizontal="center" vertical="center"/>
    </xf>
    <xf numFmtId="0" fontId="13" fillId="7" borderId="39" xfId="4" applyFont="1" applyFill="1" applyBorder="1" applyAlignment="1">
      <alignment horizontal="center" vertical="center"/>
    </xf>
    <xf numFmtId="0" fontId="13" fillId="7" borderId="16" xfId="4" applyFont="1" applyFill="1" applyBorder="1" applyAlignment="1">
      <alignment horizontal="center" vertical="center"/>
    </xf>
    <xf numFmtId="0" fontId="13" fillId="7" borderId="40" xfId="4" applyFont="1" applyFill="1" applyBorder="1" applyAlignment="1">
      <alignment horizontal="center" vertical="center"/>
    </xf>
    <xf numFmtId="0" fontId="13" fillId="7" borderId="39" xfId="4" applyFont="1" applyFill="1" applyBorder="1" applyAlignment="1">
      <alignment horizontal="center" vertical="center" wrapText="1"/>
    </xf>
    <xf numFmtId="0" fontId="13" fillId="7" borderId="40" xfId="4" applyFont="1" applyFill="1" applyBorder="1" applyAlignment="1">
      <alignment horizontal="center" vertical="center" wrapText="1"/>
    </xf>
    <xf numFmtId="0" fontId="13" fillId="7" borderId="19" xfId="4" applyFont="1" applyFill="1" applyBorder="1" applyAlignment="1">
      <alignment horizontal="center" vertical="center" wrapText="1"/>
    </xf>
    <xf numFmtId="0" fontId="13" fillId="7" borderId="18" xfId="4" applyFont="1" applyFill="1" applyBorder="1" applyAlignment="1">
      <alignment horizontal="center" vertical="center" wrapText="1"/>
    </xf>
    <xf numFmtId="0" fontId="50" fillId="7" borderId="6" xfId="4" applyFont="1" applyFill="1" applyBorder="1" applyAlignment="1">
      <alignment horizontal="center" vertical="center" wrapText="1"/>
    </xf>
    <xf numFmtId="0" fontId="50" fillId="7" borderId="3" xfId="4" applyFont="1" applyFill="1" applyBorder="1" applyAlignment="1">
      <alignment horizontal="center" vertical="center" wrapText="1"/>
    </xf>
    <xf numFmtId="0" fontId="46" fillId="7" borderId="7" xfId="4" applyFont="1" applyFill="1" applyBorder="1" applyAlignment="1">
      <alignment horizontal="center" vertical="center" wrapText="1"/>
    </xf>
    <xf numFmtId="0" fontId="50" fillId="7" borderId="39" xfId="4" applyFont="1" applyFill="1" applyBorder="1" applyAlignment="1">
      <alignment horizontal="center" vertical="center"/>
    </xf>
    <xf numFmtId="0" fontId="50" fillId="7" borderId="16" xfId="4" applyFont="1" applyFill="1" applyBorder="1" applyAlignment="1">
      <alignment horizontal="center" vertical="center"/>
    </xf>
    <xf numFmtId="0" fontId="50" fillId="7" borderId="40" xfId="4" applyFont="1" applyFill="1" applyBorder="1" applyAlignment="1">
      <alignment horizontal="center" vertical="center"/>
    </xf>
    <xf numFmtId="0" fontId="50" fillId="7" borderId="20" xfId="4" applyFont="1" applyFill="1" applyBorder="1" applyAlignment="1">
      <alignment horizontal="center" vertical="center"/>
    </xf>
    <xf numFmtId="0" fontId="50" fillId="7" borderId="18" xfId="4" applyFont="1" applyFill="1" applyBorder="1" applyAlignment="1">
      <alignment horizontal="center" vertical="center"/>
    </xf>
    <xf numFmtId="0" fontId="50" fillId="7" borderId="19" xfId="4" applyFont="1" applyFill="1" applyBorder="1" applyAlignment="1">
      <alignment horizontal="center" vertical="center" wrapText="1"/>
    </xf>
    <xf numFmtId="0" fontId="50" fillId="7" borderId="18" xfId="4" applyFont="1" applyFill="1" applyBorder="1" applyAlignment="1">
      <alignment horizontal="center" vertical="center" wrapText="1"/>
    </xf>
    <xf numFmtId="0" fontId="13" fillId="7" borderId="14" xfId="4" applyFont="1" applyFill="1" applyBorder="1" applyAlignment="1">
      <alignment horizontal="center" vertical="center" wrapText="1"/>
    </xf>
    <xf numFmtId="0" fontId="13" fillId="7" borderId="11" xfId="4" applyFont="1" applyFill="1" applyBorder="1" applyAlignment="1">
      <alignment horizontal="center" vertical="center" wrapText="1"/>
    </xf>
    <xf numFmtId="0" fontId="13" fillId="7" borderId="19" xfId="4" applyFont="1" applyFill="1" applyBorder="1" applyAlignment="1">
      <alignment horizontal="center" vertical="center"/>
    </xf>
    <xf numFmtId="0" fontId="12" fillId="7" borderId="11" xfId="4" applyFont="1" applyFill="1" applyBorder="1" applyAlignment="1">
      <alignment horizontal="center" vertical="center" wrapText="1"/>
    </xf>
    <xf numFmtId="0" fontId="13" fillId="7" borderId="20" xfId="4" applyFont="1" applyFill="1" applyBorder="1" applyAlignment="1">
      <alignment horizontal="center"/>
    </xf>
    <xf numFmtId="0" fontId="13" fillId="7" borderId="19" xfId="4" applyFont="1" applyFill="1" applyBorder="1" applyAlignment="1">
      <alignment horizontal="center"/>
    </xf>
    <xf numFmtId="0" fontId="13" fillId="7" borderId="18" xfId="4" applyFont="1" applyFill="1" applyBorder="1" applyAlignment="1">
      <alignment horizontal="center"/>
    </xf>
    <xf numFmtId="0" fontId="13" fillId="7" borderId="19" xfId="4" applyFont="1" applyFill="1" applyBorder="1" applyAlignment="1">
      <alignment horizontal="center" wrapText="1"/>
    </xf>
    <xf numFmtId="0" fontId="13" fillId="7" borderId="18" xfId="4" applyFont="1" applyFill="1" applyBorder="1" applyAlignment="1">
      <alignment horizontal="center" wrapText="1"/>
    </xf>
    <xf numFmtId="0" fontId="13" fillId="7" borderId="30" xfId="2" applyFont="1" applyFill="1" applyBorder="1" applyAlignment="1">
      <alignment horizontal="center" vertical="center" wrapText="1"/>
    </xf>
    <xf numFmtId="0" fontId="13" fillId="7" borderId="35" xfId="2" applyFont="1" applyFill="1" applyBorder="1" applyAlignment="1">
      <alignment horizontal="center" vertical="center" wrapText="1"/>
    </xf>
    <xf numFmtId="0" fontId="13" fillId="7" borderId="31" xfId="2" applyFont="1" applyFill="1" applyBorder="1" applyAlignment="1">
      <alignment horizontal="center" vertical="center" wrapText="1"/>
    </xf>
    <xf numFmtId="0" fontId="13" fillId="7" borderId="36" xfId="2" applyFont="1" applyFill="1" applyBorder="1" applyAlignment="1">
      <alignment horizontal="center" vertical="center" wrapText="1"/>
    </xf>
    <xf numFmtId="0" fontId="13" fillId="7" borderId="6" xfId="2" applyFont="1" applyFill="1" applyBorder="1" applyAlignment="1">
      <alignment horizontal="center" vertical="center" wrapText="1"/>
    </xf>
    <xf numFmtId="0" fontId="13" fillId="7" borderId="19" xfId="2" applyFont="1" applyFill="1" applyBorder="1" applyAlignment="1">
      <alignment horizontal="center" vertical="center" wrapText="1"/>
    </xf>
    <xf numFmtId="0" fontId="13" fillId="7" borderId="39" xfId="2" applyFont="1" applyFill="1" applyBorder="1" applyAlignment="1">
      <alignment horizontal="center" vertical="center" wrapText="1"/>
    </xf>
    <xf numFmtId="0" fontId="13" fillId="7" borderId="32" xfId="2" applyFont="1" applyFill="1" applyBorder="1" applyAlignment="1">
      <alignment horizontal="center" vertical="center" wrapText="1"/>
    </xf>
    <xf numFmtId="0" fontId="13" fillId="7" borderId="37" xfId="2" applyFont="1" applyFill="1" applyBorder="1" applyAlignment="1">
      <alignment horizontal="center" vertical="center" wrapText="1"/>
    </xf>
    <xf numFmtId="0" fontId="24" fillId="7" borderId="12" xfId="2" applyFont="1" applyFill="1" applyBorder="1" applyAlignment="1">
      <alignment horizontal="center" vertical="center"/>
    </xf>
    <xf numFmtId="0" fontId="24" fillId="7" borderId="5" xfId="2" applyFont="1" applyFill="1" applyBorder="1" applyAlignment="1">
      <alignment horizontal="center" vertical="center"/>
    </xf>
    <xf numFmtId="0" fontId="24" fillId="7" borderId="12" xfId="2" applyFont="1" applyFill="1" applyBorder="1" applyAlignment="1">
      <alignment horizontal="center" vertical="center" wrapText="1"/>
    </xf>
    <xf numFmtId="0" fontId="24" fillId="7" borderId="5" xfId="2" applyFont="1" applyFill="1" applyBorder="1" applyAlignment="1">
      <alignment horizontal="center" vertical="center" wrapText="1"/>
    </xf>
    <xf numFmtId="0" fontId="24" fillId="7" borderId="11" xfId="2" applyFont="1" applyFill="1" applyBorder="1" applyAlignment="1">
      <alignment horizontal="center" vertical="center"/>
    </xf>
    <xf numFmtId="0" fontId="13" fillId="7" borderId="12" xfId="2" applyFont="1" applyFill="1" applyBorder="1" applyAlignment="1">
      <alignment horizontal="center" vertical="center"/>
    </xf>
    <xf numFmtId="0" fontId="13" fillId="7" borderId="5" xfId="2" applyFont="1" applyFill="1" applyBorder="1" applyAlignment="1">
      <alignment horizontal="center" vertical="center"/>
    </xf>
    <xf numFmtId="0" fontId="13" fillId="7" borderId="12" xfId="2" applyFont="1" applyFill="1" applyBorder="1" applyAlignment="1">
      <alignment horizontal="center" vertical="center" wrapText="1"/>
    </xf>
    <xf numFmtId="0" fontId="13" fillId="7" borderId="11" xfId="2" applyFont="1" applyFill="1" applyBorder="1" applyAlignment="1">
      <alignment horizontal="center" vertical="center" wrapText="1"/>
    </xf>
    <xf numFmtId="0" fontId="13" fillId="7" borderId="11" xfId="2" applyFont="1" applyFill="1" applyBorder="1" applyAlignment="1">
      <alignment horizontal="center" vertical="center"/>
    </xf>
    <xf numFmtId="0" fontId="13" fillId="7" borderId="65" xfId="2" applyFont="1" applyFill="1" applyBorder="1" applyAlignment="1">
      <alignment horizontal="center" vertical="center" wrapText="1"/>
    </xf>
    <xf numFmtId="0" fontId="13" fillId="7" borderId="14" xfId="2" applyFont="1" applyFill="1" applyBorder="1" applyAlignment="1">
      <alignment horizontal="center" vertical="center"/>
    </xf>
    <xf numFmtId="0" fontId="13" fillId="8" borderId="5" xfId="4" applyFont="1" applyFill="1" applyBorder="1" applyAlignment="1">
      <alignment horizontal="center" vertical="center"/>
    </xf>
    <xf numFmtId="0" fontId="13" fillId="8" borderId="14" xfId="4" applyFont="1" applyFill="1" applyBorder="1" applyAlignment="1">
      <alignment horizontal="center" vertical="center"/>
    </xf>
    <xf numFmtId="0" fontId="13" fillId="8" borderId="19" xfId="4" applyFont="1" applyFill="1" applyBorder="1" applyAlignment="1">
      <alignment horizontal="center"/>
    </xf>
    <xf numFmtId="0" fontId="13" fillId="8" borderId="20" xfId="4" applyFont="1" applyFill="1" applyBorder="1" applyAlignment="1">
      <alignment horizontal="center"/>
    </xf>
    <xf numFmtId="0" fontId="13" fillId="8" borderId="5" xfId="4" applyFont="1" applyFill="1" applyBorder="1" applyAlignment="1">
      <alignment horizontal="center"/>
    </xf>
    <xf numFmtId="0" fontId="13" fillId="8" borderId="18" xfId="4" applyFont="1" applyFill="1" applyBorder="1" applyAlignment="1">
      <alignment horizontal="center"/>
    </xf>
    <xf numFmtId="0" fontId="13" fillId="8" borderId="11" xfId="4" applyFont="1" applyFill="1" applyBorder="1" applyAlignment="1">
      <alignment horizontal="center" vertical="center"/>
    </xf>
    <xf numFmtId="0" fontId="13" fillId="7" borderId="20" xfId="4" applyFont="1" applyFill="1" applyBorder="1" applyAlignment="1">
      <alignment horizontal="center" vertical="center" wrapText="1"/>
    </xf>
    <xf numFmtId="0" fontId="13" fillId="7" borderId="16" xfId="4" applyFont="1" applyFill="1" applyBorder="1" applyAlignment="1">
      <alignment horizontal="center" vertical="center" wrapText="1"/>
    </xf>
    <xf numFmtId="0" fontId="13" fillId="7" borderId="17" xfId="4" applyFont="1" applyFill="1" applyBorder="1" applyAlignment="1">
      <alignment horizontal="center" vertical="center" wrapText="1"/>
    </xf>
    <xf numFmtId="164" fontId="13" fillId="7" borderId="19" xfId="4" applyNumberFormat="1" applyFont="1" applyFill="1" applyBorder="1" applyAlignment="1">
      <alignment horizontal="center" vertical="center" wrapText="1"/>
    </xf>
    <xf numFmtId="164" fontId="13" fillId="7" borderId="20" xfId="4" applyNumberFormat="1" applyFont="1" applyFill="1" applyBorder="1" applyAlignment="1">
      <alignment horizontal="center" vertical="center" wrapText="1"/>
    </xf>
    <xf numFmtId="164" fontId="13" fillId="7" borderId="18" xfId="4" applyNumberFormat="1" applyFont="1" applyFill="1" applyBorder="1" applyAlignment="1">
      <alignment horizontal="center" vertical="center" wrapText="1"/>
    </xf>
    <xf numFmtId="0" fontId="13" fillId="7" borderId="21" xfId="0" applyFont="1" applyFill="1" applyBorder="1" applyAlignment="1">
      <alignment horizontal="center" vertical="center" wrapText="1"/>
    </xf>
    <xf numFmtId="0" fontId="13" fillId="7" borderId="8" xfId="0" applyFont="1" applyFill="1" applyBorder="1" applyAlignment="1">
      <alignment horizontal="center" vertical="center" wrapText="1"/>
    </xf>
    <xf numFmtId="0" fontId="13" fillId="7" borderId="19" xfId="0" applyFont="1" applyFill="1" applyBorder="1" applyAlignment="1">
      <alignment horizontal="center" vertical="center" wrapText="1"/>
    </xf>
    <xf numFmtId="0" fontId="13" fillId="7" borderId="18" xfId="0" applyFont="1" applyFill="1" applyBorder="1" applyAlignment="1">
      <alignment horizontal="center" vertical="center" wrapText="1"/>
    </xf>
    <xf numFmtId="0" fontId="13" fillId="7" borderId="20" xfId="0" applyFont="1" applyFill="1" applyBorder="1" applyAlignment="1">
      <alignment horizontal="center" vertical="center" wrapText="1"/>
    </xf>
    <xf numFmtId="0" fontId="13" fillId="7" borderId="39" xfId="0" applyFont="1" applyFill="1" applyBorder="1" applyAlignment="1">
      <alignment horizontal="center" vertical="center" wrapText="1"/>
    </xf>
    <xf numFmtId="0" fontId="13" fillId="7" borderId="16" xfId="0" applyFont="1" applyFill="1" applyBorder="1" applyAlignment="1">
      <alignment horizontal="center" vertical="center" wrapText="1"/>
    </xf>
    <xf numFmtId="0" fontId="13" fillId="7" borderId="40" xfId="0" applyFont="1" applyFill="1" applyBorder="1" applyAlignment="1">
      <alignment horizontal="center" vertical="center" wrapText="1"/>
    </xf>
  </cellXfs>
  <cellStyles count="64">
    <cellStyle name="Cancel" xfId="49" xr:uid="{00000000-0005-0000-0000-000000000000}"/>
    <cellStyle name="Millares" xfId="5" builtinId="3"/>
    <cellStyle name="Millares 10" xfId="42" xr:uid="{00000000-0005-0000-0000-000056000000}"/>
    <cellStyle name="Millares 2" xfId="7" xr:uid="{A52EC643-8880-46CD-B673-4F5CFF991673}"/>
    <cellStyle name="Millares 2 2" xfId="12" xr:uid="{00000000-0005-0000-0000-000001000000}"/>
    <cellStyle name="Millares 2 2 2" xfId="17" xr:uid="{00000000-0005-0000-0000-000002000000}"/>
    <cellStyle name="Millares 2 3" xfId="18" xr:uid="{00000000-0005-0000-0000-000003000000}"/>
    <cellStyle name="Millares 2 3 2" xfId="50" xr:uid="{00000000-0005-0000-0000-000002000000}"/>
    <cellStyle name="Millares 2 4" xfId="19" xr:uid="{00000000-0005-0000-0000-000004000000}"/>
    <cellStyle name="Millares 2 5" xfId="16" xr:uid="{00000000-0005-0000-0000-000001000000}"/>
    <cellStyle name="Millares 2 6" xfId="44" xr:uid="{C905E6BD-D1C8-4E64-9382-DB392A02E662}"/>
    <cellStyle name="Millares 3" xfId="8" xr:uid="{00000000-0005-0000-0000-000034000000}"/>
    <cellStyle name="Millares 3 2" xfId="21" xr:uid="{00000000-0005-0000-0000-000006000000}"/>
    <cellStyle name="Millares 3 3" xfId="20" xr:uid="{00000000-0005-0000-0000-000005000000}"/>
    <cellStyle name="Millares 3 4" xfId="39" xr:uid="{00000000-0005-0000-0000-000001000000}"/>
    <cellStyle name="Millares 3 5" xfId="51" xr:uid="{00000000-0005-0000-0000-000004000000}"/>
    <cellStyle name="Millares 4" xfId="10" xr:uid="{00000000-0005-0000-0000-000036000000}"/>
    <cellStyle name="Millares 4 2" xfId="23" xr:uid="{00000000-0005-0000-0000-000008000000}"/>
    <cellStyle name="Millares 4 2 2" xfId="53" xr:uid="{00000000-0005-0000-0000-000006000000}"/>
    <cellStyle name="Millares 4 3" xfId="24" xr:uid="{00000000-0005-0000-0000-000009000000}"/>
    <cellStyle name="Millares 4 4" xfId="22" xr:uid="{00000000-0005-0000-0000-000007000000}"/>
    <cellStyle name="Millares 4 5" xfId="52" xr:uid="{00000000-0005-0000-0000-000005000000}"/>
    <cellStyle name="Millares 5" xfId="25" xr:uid="{00000000-0005-0000-0000-00000A000000}"/>
    <cellStyle name="Millares 5 2" xfId="26" xr:uid="{00000000-0005-0000-0000-00000B000000}"/>
    <cellStyle name="Millares 5 2 2" xfId="48" xr:uid="{00000000-0005-0000-0000-000007000000}"/>
    <cellStyle name="Millares 5 3" xfId="46" xr:uid="{790C0C11-5D96-461B-93F7-F586AD85A7E2}"/>
    <cellStyle name="Millares 6" xfId="27" xr:uid="{00000000-0005-0000-0000-00000C000000}"/>
    <cellStyle name="Millares 6 2" xfId="47" xr:uid="{00000000-0005-0000-0000-000037000000}"/>
    <cellStyle name="Millares 7" xfId="28" xr:uid="{00000000-0005-0000-0000-00000D000000}"/>
    <cellStyle name="Millares 8" xfId="29" xr:uid="{00000000-0005-0000-0000-00000E000000}"/>
    <cellStyle name="Millares 9" xfId="15" xr:uid="{00000000-0005-0000-0000-00003B000000}"/>
    <cellStyle name="Normal" xfId="0" builtinId="0"/>
    <cellStyle name="Normal 2" xfId="4" xr:uid="{00000000-0005-0000-0000-000001000000}"/>
    <cellStyle name="Normal 2 2" xfId="13" xr:uid="{00000000-0005-0000-0000-000004000000}"/>
    <cellStyle name="Normal 2 2 2" xfId="30" xr:uid="{00000000-0005-0000-0000-000011000000}"/>
    <cellStyle name="Normal 2 2 3" xfId="38" xr:uid="{00000000-0005-0000-0000-000005000000}"/>
    <cellStyle name="Normal 2 2 4" xfId="40" xr:uid="{134BBD72-A9A0-4C91-AF05-0BBD330A720F}"/>
    <cellStyle name="Normal 2 2 5" xfId="54" xr:uid="{00000000-0005-0000-0000-00000A000000}"/>
    <cellStyle name="Normal 3" xfId="9" xr:uid="{AA31B36F-75A8-4D5B-873B-3A702107E25C}"/>
    <cellStyle name="Normal 3 2" xfId="14" xr:uid="{00000000-0005-0000-0000-000005000000}"/>
    <cellStyle name="Normal 3 2 2" xfId="31" xr:uid="{00000000-0005-0000-0000-000013000000}"/>
    <cellStyle name="Normal 3 2 3" xfId="45" xr:uid="{9C1C02CE-BBF2-4302-9579-6B90955C9BE2}"/>
    <cellStyle name="Normal 3 3" xfId="32" xr:uid="{00000000-0005-0000-0000-000014000000}"/>
    <cellStyle name="Normal 3 4" xfId="33" xr:uid="{00000000-0005-0000-0000-000015000000}"/>
    <cellStyle name="Normal 3 5" xfId="34" xr:uid="{00000000-0005-0000-0000-000016000000}"/>
    <cellStyle name="Normal 3 6" xfId="55" xr:uid="{00000000-0005-0000-0000-00000B000000}"/>
    <cellStyle name="Normal 35" xfId="35" xr:uid="{00000000-0005-0000-0000-000017000000}"/>
    <cellStyle name="Normal 4" xfId="36" xr:uid="{00000000-0005-0000-0000-000018000000}"/>
    <cellStyle name="Normal 4 2" xfId="56" xr:uid="{00000000-0005-0000-0000-00000D000000}"/>
    <cellStyle name="Normal 5" xfId="61" xr:uid="{00000000-0005-0000-0000-000043000000}"/>
    <cellStyle name="Normal 5 2" xfId="63" xr:uid="{00000000-0005-0000-0000-000043000000}"/>
    <cellStyle name="Normal 6" xfId="41" xr:uid="{00000000-0005-0000-0000-00005F000000}"/>
    <cellStyle name="Normal 7" xfId="62" xr:uid="{00000000-0005-0000-0000-00006B000000}"/>
    <cellStyle name="Normal_ESTR98" xfId="1" xr:uid="{00000000-0005-0000-0000-000002000000}"/>
    <cellStyle name="Normal_PLAZAS98" xfId="2" xr:uid="{00000000-0005-0000-0000-000003000000}"/>
    <cellStyle name="Normal_SPGG98" xfId="3" xr:uid="{00000000-0005-0000-0000-000004000000}"/>
    <cellStyle name="Porcentaje" xfId="6" builtinId="5"/>
    <cellStyle name="Porcentaje 2" xfId="11" xr:uid="{00000000-0005-0000-0000-00003A000000}"/>
    <cellStyle name="Porcentaje 2 2" xfId="58" xr:uid="{00000000-0005-0000-0000-00000F000000}"/>
    <cellStyle name="Porcentaje 2 3" xfId="59" xr:uid="{00000000-0005-0000-0000-000010000000}"/>
    <cellStyle name="Porcentaje 2 4" xfId="57" xr:uid="{00000000-0005-0000-0000-00000E000000}"/>
    <cellStyle name="Porcentaje 3" xfId="37" xr:uid="{00000000-0005-0000-0000-00001C000000}"/>
    <cellStyle name="Porcentaje 3 2" xfId="60" xr:uid="{00000000-0005-0000-0000-000011000000}"/>
    <cellStyle name="Porcentaje 4" xfId="43" xr:uid="{00000000-0005-0000-0000-00006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523875</xdr:colOff>
      <xdr:row>19</xdr:row>
      <xdr:rowOff>2673</xdr:rowOff>
    </xdr:from>
    <xdr:ext cx="5172075" cy="937629"/>
    <xdr:sp macro="" textlink="">
      <xdr:nvSpPr>
        <xdr:cNvPr id="2" name="Rectángulo 1">
          <a:extLst>
            <a:ext uri="{FF2B5EF4-FFF2-40B4-BE49-F238E27FC236}">
              <a16:creationId xmlns:a16="http://schemas.microsoft.com/office/drawing/2014/main" id="{49189ECF-31E8-4529-B32C-B006AB48F0AE}"/>
            </a:ext>
          </a:extLst>
        </xdr:cNvPr>
        <xdr:cNvSpPr/>
      </xdr:nvSpPr>
      <xdr:spPr>
        <a:xfrm>
          <a:off x="3152775" y="3888873"/>
          <a:ext cx="5172075" cy="937629"/>
        </a:xfrm>
        <a:prstGeom prst="rect">
          <a:avLst/>
        </a:prstGeom>
        <a:noFill/>
      </xdr:spPr>
      <xdr:txBody>
        <a:bodyPr wrap="square" lIns="91440" tIns="45720" rIns="91440" bIns="45720">
          <a:spAutoFit/>
        </a:bodyPr>
        <a:lstStyle/>
        <a:p>
          <a:pPr algn="ctr"/>
          <a:r>
            <a:rPr lang="es-ES" sz="5400" b="1" cap="none" spc="50">
              <a:ln w="9525" cmpd="sng">
                <a:solidFill>
                  <a:schemeClr val="accent1"/>
                </a:solidFill>
                <a:prstDash val="solid"/>
              </a:ln>
              <a:solidFill>
                <a:srgbClr val="70AD47">
                  <a:tint val="1000"/>
                </a:srgbClr>
              </a:solidFill>
              <a:effectLst>
                <a:glow rad="38100">
                  <a:schemeClr val="accent1">
                    <a:alpha val="40000"/>
                  </a:schemeClr>
                </a:glo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0</xdr:colOff>
      <xdr:row>67</xdr:row>
      <xdr:rowOff>0</xdr:rowOff>
    </xdr:from>
    <xdr:ext cx="6877050" cy="1321149"/>
    <xdr:pic>
      <xdr:nvPicPr>
        <xdr:cNvPr id="2" name="Imagen 1">
          <a:extLst>
            <a:ext uri="{FF2B5EF4-FFF2-40B4-BE49-F238E27FC236}">
              <a16:creationId xmlns:a16="http://schemas.microsoft.com/office/drawing/2014/main" id="{E44C18C4-56CE-4B49-B158-88F8BA02B4B5}"/>
            </a:ext>
          </a:extLst>
        </xdr:cNvPr>
        <xdr:cNvPicPr>
          <a:picLocks noChangeAspect="1"/>
        </xdr:cNvPicPr>
      </xdr:nvPicPr>
      <xdr:blipFill>
        <a:blip xmlns:r="http://schemas.openxmlformats.org/officeDocument/2006/relationships" r:embed="rId1"/>
        <a:stretch>
          <a:fillRect/>
        </a:stretch>
      </xdr:blipFill>
      <xdr:spPr>
        <a:xfrm>
          <a:off x="2286000" y="10848975"/>
          <a:ext cx="6877050" cy="1321149"/>
        </a:xfrm>
        <a:prstGeom prst="rect">
          <a:avLst/>
        </a:prstGeom>
      </xdr:spPr>
    </xdr:pic>
    <xdr:clientData/>
  </xdr:oneCellAnchor>
  <xdr:oneCellAnchor>
    <xdr:from>
      <xdr:col>3</xdr:col>
      <xdr:colOff>0</xdr:colOff>
      <xdr:row>35</xdr:row>
      <xdr:rowOff>0</xdr:rowOff>
    </xdr:from>
    <xdr:ext cx="6877050" cy="1321149"/>
    <xdr:pic>
      <xdr:nvPicPr>
        <xdr:cNvPr id="3" name="Imagen 1">
          <a:extLst>
            <a:ext uri="{FF2B5EF4-FFF2-40B4-BE49-F238E27FC236}">
              <a16:creationId xmlns:a16="http://schemas.microsoft.com/office/drawing/2014/main" id="{7A47531E-1E3B-4023-9C84-17AD6EEAD7D6}"/>
            </a:ext>
          </a:extLst>
        </xdr:cNvPr>
        <xdr:cNvPicPr>
          <a:picLocks noChangeAspect="1"/>
        </xdr:cNvPicPr>
      </xdr:nvPicPr>
      <xdr:blipFill>
        <a:blip xmlns:r="http://schemas.openxmlformats.org/officeDocument/2006/relationships" r:embed="rId1"/>
        <a:stretch>
          <a:fillRect/>
        </a:stretch>
      </xdr:blipFill>
      <xdr:spPr>
        <a:xfrm>
          <a:off x="2286000" y="5667375"/>
          <a:ext cx="6877050" cy="132114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4</xdr:col>
      <xdr:colOff>102393</xdr:colOff>
      <xdr:row>34</xdr:row>
      <xdr:rowOff>223838</xdr:rowOff>
    </xdr:from>
    <xdr:ext cx="5172075" cy="937629"/>
    <xdr:sp macro="" textlink="">
      <xdr:nvSpPr>
        <xdr:cNvPr id="3" name="Rectángulo 2">
          <a:extLst>
            <a:ext uri="{FF2B5EF4-FFF2-40B4-BE49-F238E27FC236}">
              <a16:creationId xmlns:a16="http://schemas.microsoft.com/office/drawing/2014/main" id="{FA318CDE-ADAC-4E19-A586-F498A73DBF14}"/>
            </a:ext>
          </a:extLst>
        </xdr:cNvPr>
        <xdr:cNvSpPr/>
      </xdr:nvSpPr>
      <xdr:spPr>
        <a:xfrm>
          <a:off x="6103143" y="10296526"/>
          <a:ext cx="5172075" cy="937629"/>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5400" b="1" i="0" u="none" strike="noStrike" kern="0" cap="none" spc="50" normalizeH="0" baseline="0" noProof="0">
              <a:ln w="9525" cmpd="sng">
                <a:solidFill>
                  <a:srgbClr val="4F81BD"/>
                </a:solidFill>
                <a:prstDash val="solid"/>
              </a:ln>
              <a:solidFill>
                <a:srgbClr val="70AD47">
                  <a:tint val="1000"/>
                </a:srgbClr>
              </a:solidFill>
              <a:effectLst>
                <a:glow rad="38100">
                  <a:srgbClr val="4F81BD">
                    <a:alpha val="40000"/>
                  </a:srgbClr>
                </a:glow>
              </a:effectLst>
              <a:uLnTx/>
              <a:uFillTx/>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FF00"/>
  </sheetPr>
  <dimension ref="A1:SR34"/>
  <sheetViews>
    <sheetView showGridLines="0" zoomScaleNormal="100" zoomScaleSheetLayoutView="100" workbookViewId="0">
      <selection activeCell="B14" sqref="B14:E14"/>
    </sheetView>
  </sheetViews>
  <sheetFormatPr baseColWidth="10" defaultColWidth="11.42578125" defaultRowHeight="12.75"/>
  <cols>
    <col min="1" max="1" width="19.7109375" style="17" customWidth="1"/>
    <col min="2" max="2" width="69.85546875" style="18" customWidth="1"/>
    <col min="3" max="3" width="8.7109375" style="17" customWidth="1"/>
    <col min="4" max="4" width="10.7109375" style="17" customWidth="1"/>
    <col min="5" max="5" width="5.7109375" style="17" customWidth="1"/>
    <col min="6" max="16384" width="11.42578125" style="17"/>
  </cols>
  <sheetData>
    <row r="1" spans="1:512" s="16" customFormat="1" ht="15.75">
      <c r="A1" s="14" t="s">
        <v>350</v>
      </c>
      <c r="B1" s="15"/>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c r="IW1" s="21"/>
      <c r="IX1" s="21"/>
      <c r="IY1" s="21"/>
      <c r="IZ1" s="21"/>
      <c r="JA1" s="21"/>
      <c r="JB1" s="21"/>
      <c r="JC1" s="21"/>
      <c r="JD1" s="21"/>
      <c r="JE1" s="21"/>
      <c r="JF1" s="21"/>
      <c r="JG1" s="21"/>
      <c r="JH1" s="21"/>
      <c r="JI1" s="21"/>
      <c r="JJ1" s="21"/>
      <c r="JK1" s="21"/>
      <c r="JL1" s="21"/>
      <c r="JM1" s="21"/>
      <c r="JN1" s="21"/>
      <c r="JO1" s="21"/>
      <c r="JP1" s="21"/>
      <c r="JQ1" s="21"/>
      <c r="JR1" s="21"/>
      <c r="JS1" s="21"/>
      <c r="JT1" s="21"/>
      <c r="JU1" s="21"/>
      <c r="JV1" s="21"/>
      <c r="JW1" s="21"/>
      <c r="JX1" s="21"/>
      <c r="JY1" s="21"/>
      <c r="JZ1" s="21"/>
      <c r="KA1" s="21"/>
      <c r="KB1" s="21"/>
      <c r="KC1" s="21"/>
      <c r="KD1" s="21"/>
      <c r="KE1" s="21"/>
      <c r="KF1" s="21"/>
      <c r="KG1" s="21"/>
      <c r="KH1" s="21"/>
      <c r="KI1" s="21"/>
      <c r="KJ1" s="21"/>
      <c r="KK1" s="21"/>
      <c r="KL1" s="21"/>
      <c r="KM1" s="21"/>
      <c r="KN1" s="21"/>
      <c r="KO1" s="21"/>
      <c r="KP1" s="21"/>
      <c r="KQ1" s="21"/>
      <c r="KR1" s="21"/>
      <c r="KS1" s="21"/>
      <c r="KT1" s="21"/>
      <c r="KU1" s="21"/>
      <c r="KV1" s="21"/>
      <c r="KW1" s="21"/>
      <c r="KX1" s="21"/>
      <c r="KY1" s="21"/>
      <c r="KZ1" s="21"/>
      <c r="LA1" s="21"/>
      <c r="LB1" s="21"/>
      <c r="LC1" s="21"/>
      <c r="LD1" s="21"/>
      <c r="LE1" s="21"/>
      <c r="LF1" s="21"/>
      <c r="LG1" s="21"/>
      <c r="LH1" s="21"/>
      <c r="LI1" s="21"/>
      <c r="LJ1" s="21"/>
      <c r="LK1" s="21"/>
      <c r="LL1" s="21"/>
      <c r="LM1" s="21"/>
      <c r="LN1" s="21"/>
      <c r="LO1" s="21"/>
      <c r="LP1" s="21"/>
      <c r="LQ1" s="21"/>
      <c r="LR1" s="21"/>
      <c r="LS1" s="21"/>
      <c r="LT1" s="21"/>
      <c r="LU1" s="21"/>
      <c r="LV1" s="21"/>
      <c r="LW1" s="21"/>
      <c r="LX1" s="21"/>
      <c r="LY1" s="21"/>
      <c r="LZ1" s="21"/>
      <c r="MA1" s="21"/>
      <c r="MB1" s="21"/>
      <c r="MC1" s="21"/>
      <c r="MD1" s="21"/>
      <c r="ME1" s="21"/>
      <c r="MF1" s="21"/>
      <c r="MG1" s="21"/>
      <c r="MH1" s="21"/>
      <c r="MI1" s="21"/>
      <c r="MJ1" s="21"/>
      <c r="MK1" s="21"/>
      <c r="ML1" s="21"/>
      <c r="MM1" s="21"/>
      <c r="MN1" s="21"/>
      <c r="MO1" s="21"/>
      <c r="MP1" s="21"/>
      <c r="MQ1" s="21"/>
      <c r="MR1" s="21"/>
      <c r="MS1" s="21"/>
      <c r="MT1" s="21"/>
      <c r="MU1" s="21"/>
      <c r="MV1" s="21"/>
      <c r="MW1" s="21"/>
      <c r="MX1" s="21"/>
      <c r="MY1" s="21"/>
      <c r="MZ1" s="21"/>
      <c r="NA1" s="21"/>
      <c r="NB1" s="21"/>
      <c r="NC1" s="21"/>
      <c r="ND1" s="21"/>
      <c r="NE1" s="21"/>
      <c r="NF1" s="21"/>
      <c r="NG1" s="21"/>
      <c r="NH1" s="21"/>
      <c r="NI1" s="21"/>
      <c r="NJ1" s="21"/>
      <c r="NK1" s="21"/>
      <c r="NL1" s="21"/>
      <c r="NM1" s="21"/>
      <c r="NN1" s="21"/>
      <c r="NO1" s="21"/>
      <c r="NP1" s="21"/>
      <c r="NQ1" s="21"/>
      <c r="NR1" s="21"/>
      <c r="NS1" s="21"/>
      <c r="NT1" s="21"/>
      <c r="NU1" s="21"/>
      <c r="NV1" s="21"/>
      <c r="NW1" s="21"/>
      <c r="NX1" s="21"/>
      <c r="NY1" s="21"/>
      <c r="NZ1" s="21"/>
      <c r="OA1" s="21"/>
      <c r="OB1" s="21"/>
      <c r="OC1" s="21"/>
      <c r="OD1" s="21"/>
      <c r="OE1" s="21"/>
      <c r="OF1" s="21"/>
      <c r="OG1" s="21"/>
      <c r="OH1" s="21"/>
      <c r="OI1" s="21"/>
      <c r="OJ1" s="21"/>
      <c r="OK1" s="21"/>
      <c r="OL1" s="21"/>
      <c r="OM1" s="21"/>
      <c r="ON1" s="21"/>
      <c r="OO1" s="21"/>
      <c r="OP1" s="21"/>
      <c r="OQ1" s="21"/>
      <c r="OR1" s="21"/>
      <c r="OS1" s="21"/>
      <c r="OT1" s="21"/>
      <c r="OU1" s="21"/>
      <c r="OV1" s="21"/>
      <c r="OW1" s="21"/>
      <c r="OX1" s="21"/>
      <c r="OY1" s="21"/>
      <c r="OZ1" s="21"/>
      <c r="PA1" s="21"/>
      <c r="PB1" s="21"/>
      <c r="PC1" s="21"/>
      <c r="PD1" s="21"/>
      <c r="PE1" s="21"/>
      <c r="PF1" s="21"/>
      <c r="PG1" s="21"/>
      <c r="PH1" s="21"/>
      <c r="PI1" s="21"/>
      <c r="PJ1" s="21"/>
      <c r="PK1" s="21"/>
      <c r="PL1" s="21"/>
      <c r="PM1" s="21"/>
      <c r="PN1" s="21"/>
      <c r="PO1" s="21"/>
      <c r="PP1" s="21"/>
      <c r="PQ1" s="21"/>
      <c r="PR1" s="21"/>
      <c r="PS1" s="21"/>
      <c r="PT1" s="21"/>
      <c r="PU1" s="21"/>
      <c r="PV1" s="21"/>
      <c r="PW1" s="21"/>
      <c r="PX1" s="21"/>
      <c r="PY1" s="21"/>
      <c r="PZ1" s="21"/>
      <c r="QA1" s="21"/>
      <c r="QB1" s="21"/>
      <c r="QC1" s="21"/>
      <c r="QD1" s="21"/>
      <c r="QE1" s="21"/>
      <c r="QF1" s="21"/>
      <c r="QG1" s="21"/>
      <c r="QH1" s="21"/>
      <c r="QI1" s="21"/>
      <c r="QJ1" s="21"/>
      <c r="QK1" s="21"/>
      <c r="QL1" s="21"/>
      <c r="QM1" s="21"/>
      <c r="QN1" s="21"/>
      <c r="QO1" s="21"/>
      <c r="QP1" s="21"/>
      <c r="QQ1" s="21"/>
      <c r="QR1" s="21"/>
      <c r="QS1" s="21"/>
      <c r="QT1" s="21"/>
      <c r="QU1" s="21"/>
      <c r="QV1" s="21"/>
      <c r="QW1" s="21"/>
      <c r="QX1" s="21"/>
      <c r="QY1" s="21"/>
      <c r="QZ1" s="21"/>
      <c r="RA1" s="21"/>
      <c r="RB1" s="21"/>
      <c r="RC1" s="21"/>
      <c r="RD1" s="21"/>
      <c r="RE1" s="21"/>
      <c r="RF1" s="21"/>
      <c r="RG1" s="21"/>
      <c r="RH1" s="21"/>
      <c r="RI1" s="21"/>
      <c r="RJ1" s="21"/>
      <c r="RK1" s="21"/>
      <c r="RL1" s="21"/>
      <c r="RM1" s="21"/>
      <c r="RN1" s="21"/>
      <c r="RO1" s="21"/>
      <c r="RP1" s="21"/>
      <c r="RQ1" s="21"/>
      <c r="RR1" s="21"/>
      <c r="RS1" s="21"/>
      <c r="RT1" s="21"/>
      <c r="RU1" s="21"/>
      <c r="RV1" s="21"/>
      <c r="RW1" s="21"/>
      <c r="RX1" s="21"/>
      <c r="RY1" s="21"/>
      <c r="RZ1" s="21"/>
      <c r="SA1" s="21"/>
      <c r="SB1" s="21"/>
      <c r="SC1" s="21"/>
      <c r="SD1" s="21"/>
      <c r="SE1" s="21"/>
      <c r="SF1" s="21"/>
      <c r="SG1" s="21"/>
      <c r="SH1" s="21"/>
      <c r="SI1" s="21"/>
      <c r="SJ1" s="21"/>
      <c r="SK1" s="21"/>
      <c r="SL1" s="21"/>
      <c r="SM1" s="21"/>
      <c r="SN1" s="21"/>
      <c r="SO1" s="21"/>
      <c r="SP1" s="21"/>
      <c r="SQ1" s="21"/>
      <c r="SR1" s="21"/>
    </row>
    <row r="2" spans="1:512">
      <c r="C2" s="19"/>
      <c r="D2" s="19"/>
      <c r="E2" s="23"/>
      <c r="F2" s="22"/>
    </row>
    <row r="3" spans="1:512">
      <c r="A3" s="20" t="s">
        <v>370</v>
      </c>
      <c r="E3" s="22"/>
      <c r="F3" s="22"/>
    </row>
    <row r="4" spans="1:512">
      <c r="E4" s="22"/>
      <c r="F4" s="22"/>
    </row>
    <row r="5" spans="1:512" s="159" customFormat="1" ht="27" customHeight="1">
      <c r="A5" s="163" t="s">
        <v>352</v>
      </c>
      <c r="B5" s="1627" t="s">
        <v>351</v>
      </c>
      <c r="C5" s="1628"/>
      <c r="D5" s="1628"/>
      <c r="E5" s="1629"/>
      <c r="F5" s="160"/>
    </row>
    <row r="6" spans="1:512">
      <c r="A6" s="20"/>
      <c r="B6" s="158"/>
      <c r="C6" s="159"/>
      <c r="D6" s="159"/>
      <c r="E6" s="160"/>
      <c r="F6" s="22"/>
    </row>
    <row r="7" spans="1:512">
      <c r="A7" s="20" t="s">
        <v>371</v>
      </c>
      <c r="B7" s="158"/>
      <c r="C7" s="159"/>
      <c r="D7" s="159"/>
      <c r="E7" s="160"/>
      <c r="F7" s="22"/>
    </row>
    <row r="8" spans="1:512">
      <c r="A8" s="20"/>
      <c r="B8" s="158"/>
      <c r="C8" s="159"/>
      <c r="D8" s="159"/>
      <c r="E8" s="160"/>
      <c r="F8" s="22"/>
    </row>
    <row r="9" spans="1:512" s="159" customFormat="1" ht="27" customHeight="1">
      <c r="A9" s="163" t="s">
        <v>353</v>
      </c>
      <c r="B9" s="1627" t="s">
        <v>421</v>
      </c>
      <c r="C9" s="1628"/>
      <c r="D9" s="1628"/>
      <c r="E9" s="1629"/>
      <c r="F9" s="160"/>
    </row>
    <row r="10" spans="1:512" s="159" customFormat="1" ht="27" customHeight="1">
      <c r="A10" s="163" t="s">
        <v>354</v>
      </c>
      <c r="B10" s="1627" t="s">
        <v>422</v>
      </c>
      <c r="C10" s="1628"/>
      <c r="D10" s="1628"/>
      <c r="E10" s="1629"/>
      <c r="F10" s="160"/>
    </row>
    <row r="11" spans="1:512" s="159" customFormat="1" ht="27" customHeight="1">
      <c r="A11" s="163" t="s">
        <v>355</v>
      </c>
      <c r="B11" s="1627" t="s">
        <v>423</v>
      </c>
      <c r="C11" s="1628"/>
      <c r="D11" s="1628"/>
      <c r="E11" s="1629"/>
      <c r="F11" s="160"/>
    </row>
    <row r="12" spans="1:512" s="159" customFormat="1" ht="27" customHeight="1">
      <c r="A12" s="163" t="s">
        <v>356</v>
      </c>
      <c r="B12" s="1627" t="s">
        <v>424</v>
      </c>
      <c r="C12" s="1628"/>
      <c r="D12" s="1628"/>
      <c r="E12" s="1629"/>
      <c r="F12" s="160"/>
    </row>
    <row r="13" spans="1:512" s="159" customFormat="1" ht="27" customHeight="1">
      <c r="A13" s="163" t="s">
        <v>357</v>
      </c>
      <c r="B13" s="1627" t="s">
        <v>425</v>
      </c>
      <c r="C13" s="1628"/>
      <c r="D13" s="1628"/>
      <c r="E13" s="1629"/>
      <c r="F13" s="160"/>
    </row>
    <row r="14" spans="1:512" s="159" customFormat="1" ht="27" customHeight="1">
      <c r="A14" s="163" t="s">
        <v>358</v>
      </c>
      <c r="B14" s="1627" t="s">
        <v>426</v>
      </c>
      <c r="C14" s="1628"/>
      <c r="D14" s="1628"/>
      <c r="E14" s="1629"/>
      <c r="F14" s="160"/>
    </row>
    <row r="15" spans="1:512" s="159" customFormat="1" ht="27" customHeight="1">
      <c r="A15" s="163" t="s">
        <v>359</v>
      </c>
      <c r="B15" s="1627" t="s">
        <v>427</v>
      </c>
      <c r="C15" s="1628"/>
      <c r="D15" s="1628"/>
      <c r="E15" s="1629"/>
      <c r="F15" s="160"/>
    </row>
    <row r="16" spans="1:512">
      <c r="A16" s="20"/>
      <c r="B16" s="158"/>
      <c r="C16" s="159"/>
      <c r="D16" s="159"/>
      <c r="E16" s="160"/>
      <c r="F16" s="22"/>
    </row>
    <row r="17" spans="1:6">
      <c r="A17" s="20" t="s">
        <v>372</v>
      </c>
      <c r="B17" s="158"/>
      <c r="C17" s="159"/>
      <c r="D17" s="159"/>
      <c r="E17" s="160"/>
      <c r="F17" s="22"/>
    </row>
    <row r="18" spans="1:6">
      <c r="A18" s="20"/>
      <c r="B18" s="158"/>
      <c r="C18" s="159"/>
      <c r="D18" s="159"/>
      <c r="E18" s="160"/>
      <c r="F18" s="22"/>
    </row>
    <row r="19" spans="1:6" s="159" customFormat="1" ht="27" customHeight="1">
      <c r="A19" s="163" t="s">
        <v>360</v>
      </c>
      <c r="B19" s="1627" t="s">
        <v>428</v>
      </c>
      <c r="C19" s="1628"/>
      <c r="D19" s="1628"/>
      <c r="E19" s="1629"/>
      <c r="F19" s="160"/>
    </row>
    <row r="20" spans="1:6" s="159" customFormat="1" ht="27" customHeight="1">
      <c r="A20" s="163" t="s">
        <v>361</v>
      </c>
      <c r="B20" s="1627" t="s">
        <v>429</v>
      </c>
      <c r="C20" s="1628"/>
      <c r="D20" s="1628"/>
      <c r="E20" s="1629"/>
      <c r="F20" s="160"/>
    </row>
    <row r="21" spans="1:6" s="159" customFormat="1" ht="27" customHeight="1">
      <c r="A21" s="163" t="s">
        <v>362</v>
      </c>
      <c r="B21" s="1627" t="s">
        <v>430</v>
      </c>
      <c r="C21" s="1628"/>
      <c r="D21" s="1628"/>
      <c r="E21" s="1629"/>
      <c r="F21" s="160"/>
    </row>
    <row r="22" spans="1:6">
      <c r="A22" s="20"/>
      <c r="B22" s="158"/>
      <c r="C22" s="159"/>
      <c r="D22" s="159"/>
      <c r="E22" s="160"/>
      <c r="F22" s="22"/>
    </row>
    <row r="23" spans="1:6">
      <c r="A23" s="20" t="s">
        <v>373</v>
      </c>
      <c r="B23" s="158"/>
      <c r="C23" s="159"/>
      <c r="D23" s="159"/>
      <c r="E23" s="160"/>
      <c r="F23" s="22"/>
    </row>
    <row r="24" spans="1:6">
      <c r="A24" s="20"/>
      <c r="B24" s="158"/>
      <c r="C24" s="159"/>
      <c r="D24" s="159"/>
      <c r="E24" s="160"/>
      <c r="F24" s="22"/>
    </row>
    <row r="25" spans="1:6" s="159" customFormat="1" ht="27" customHeight="1">
      <c r="A25" s="163" t="s">
        <v>363</v>
      </c>
      <c r="B25" s="1627" t="s">
        <v>431</v>
      </c>
      <c r="C25" s="1628"/>
      <c r="D25" s="1628"/>
      <c r="E25" s="1629"/>
      <c r="F25" s="160"/>
    </row>
    <row r="26" spans="1:6" s="159" customFormat="1" ht="27" customHeight="1">
      <c r="A26" s="163" t="s">
        <v>364</v>
      </c>
      <c r="B26" s="1627" t="s">
        <v>432</v>
      </c>
      <c r="C26" s="1628"/>
      <c r="D26" s="1628"/>
      <c r="E26" s="1629"/>
      <c r="F26" s="160"/>
    </row>
    <row r="27" spans="1:6" s="159" customFormat="1" ht="27" customHeight="1">
      <c r="A27" s="163" t="s">
        <v>365</v>
      </c>
      <c r="B27" s="1627" t="s">
        <v>433</v>
      </c>
      <c r="C27" s="1628"/>
      <c r="D27" s="1628"/>
      <c r="E27" s="1629"/>
      <c r="F27" s="160"/>
    </row>
    <row r="28" spans="1:6" s="159" customFormat="1" ht="27" customHeight="1">
      <c r="A28" s="163" t="s">
        <v>366</v>
      </c>
      <c r="B28" s="1627" t="s">
        <v>434</v>
      </c>
      <c r="C28" s="1628"/>
      <c r="D28" s="1628"/>
      <c r="E28" s="1629"/>
      <c r="F28" s="160"/>
    </row>
    <row r="29" spans="1:6" s="159" customFormat="1" ht="27" customHeight="1">
      <c r="A29" s="163" t="s">
        <v>367</v>
      </c>
      <c r="B29" s="1627" t="s">
        <v>435</v>
      </c>
      <c r="C29" s="1628"/>
      <c r="D29" s="1628"/>
      <c r="E29" s="1629"/>
      <c r="F29" s="160"/>
    </row>
    <row r="30" spans="1:6">
      <c r="A30" s="20"/>
      <c r="B30" s="158"/>
      <c r="C30" s="159"/>
      <c r="D30" s="159"/>
      <c r="E30" s="160"/>
      <c r="F30" s="22"/>
    </row>
    <row r="31" spans="1:6">
      <c r="A31" s="20" t="s">
        <v>21</v>
      </c>
      <c r="B31" s="158"/>
      <c r="C31" s="159"/>
      <c r="D31" s="159"/>
      <c r="E31" s="160"/>
      <c r="F31" s="22"/>
    </row>
    <row r="32" spans="1:6">
      <c r="A32" s="20"/>
      <c r="B32" s="158"/>
      <c r="C32" s="159"/>
      <c r="D32" s="159"/>
      <c r="E32" s="160"/>
      <c r="F32" s="22"/>
    </row>
    <row r="33" spans="1:6" s="159" customFormat="1" ht="27" customHeight="1">
      <c r="A33" s="163" t="s">
        <v>368</v>
      </c>
      <c r="B33" s="1627" t="s">
        <v>436</v>
      </c>
      <c r="C33" s="1628"/>
      <c r="D33" s="1628"/>
      <c r="E33" s="1629"/>
      <c r="F33" s="160"/>
    </row>
    <row r="34" spans="1:6" s="159" customFormat="1" ht="27" customHeight="1">
      <c r="A34" s="163" t="s">
        <v>369</v>
      </c>
      <c r="B34" s="1627" t="s">
        <v>437</v>
      </c>
      <c r="C34" s="1628"/>
      <c r="D34" s="1628"/>
      <c r="E34" s="1629"/>
      <c r="F34" s="160"/>
    </row>
  </sheetData>
  <mergeCells count="18">
    <mergeCell ref="B5:E5"/>
    <mergeCell ref="B12:E12"/>
    <mergeCell ref="B13:E13"/>
    <mergeCell ref="B14:E14"/>
    <mergeCell ref="B19:E19"/>
    <mergeCell ref="B33:E33"/>
    <mergeCell ref="B34:E34"/>
    <mergeCell ref="B9:E9"/>
    <mergeCell ref="B10:E10"/>
    <mergeCell ref="B11:E11"/>
    <mergeCell ref="B15:E15"/>
    <mergeCell ref="B21:E21"/>
    <mergeCell ref="B25:E25"/>
    <mergeCell ref="B26:E26"/>
    <mergeCell ref="B27:E27"/>
    <mergeCell ref="B28:E28"/>
    <mergeCell ref="B29:E29"/>
    <mergeCell ref="B20:E20"/>
  </mergeCells>
  <pageMargins left="0.82677165354330717" right="0.70866141732283472" top="1.1417322834645669" bottom="0.74803149606299213" header="0.70866141732283472" footer="0.31496062992125984"/>
  <pageSetup paperSize="9" scale="75" orientation="portrait" r:id="rId1"/>
  <headerFooter>
    <oddHeader>&amp;C&amp;"Arial,Negrita"&amp;18FORMATOS DEL 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249977111117893"/>
  </sheetPr>
  <dimension ref="A1:AB168"/>
  <sheetViews>
    <sheetView showGridLines="0" view="pageBreakPreview" topLeftCell="A115" zoomScale="90" zoomScaleNormal="100" zoomScaleSheetLayoutView="90" zoomScalePageLayoutView="85" workbookViewId="0">
      <selection activeCell="F137" sqref="F137"/>
    </sheetView>
  </sheetViews>
  <sheetFormatPr baseColWidth="10" defaultColWidth="11.42578125" defaultRowHeight="12.75"/>
  <cols>
    <col min="1" max="1" width="35.42578125" style="1162" customWidth="1"/>
    <col min="2" max="8" width="7" style="1162" customWidth="1"/>
    <col min="9" max="9" width="6.5703125" style="1162" bestFit="1" customWidth="1"/>
    <col min="10" max="10" width="7" style="1162" customWidth="1"/>
    <col min="11" max="11" width="5.5703125" style="1162" customWidth="1"/>
    <col min="12" max="12" width="10.28515625" style="1162" customWidth="1"/>
    <col min="13" max="21" width="7" style="1162" customWidth="1"/>
    <col min="22" max="22" width="4.85546875" style="1162" bestFit="1" customWidth="1"/>
    <col min="23" max="23" width="13.42578125" style="1162" bestFit="1" customWidth="1"/>
    <col min="24" max="24" width="1.7109375" style="1164" customWidth="1"/>
    <col min="25" max="28" width="10.7109375" style="763" customWidth="1"/>
    <col min="29" max="16384" width="11.42578125" style="952"/>
  </cols>
  <sheetData>
    <row r="1" spans="1:28" s="1157" customFormat="1" ht="15.75">
      <c r="A1" s="1154" t="s">
        <v>398</v>
      </c>
      <c r="B1" s="1155"/>
      <c r="C1" s="1155"/>
      <c r="D1" s="1155"/>
      <c r="E1" s="1155"/>
      <c r="F1" s="1155"/>
      <c r="G1" s="1155"/>
      <c r="H1" s="1155"/>
      <c r="I1" s="1155"/>
      <c r="J1" s="1155"/>
      <c r="K1" s="1155"/>
      <c r="L1" s="1155"/>
      <c r="M1" s="1155"/>
      <c r="N1" s="1155"/>
      <c r="O1" s="1155"/>
      <c r="P1" s="1155"/>
      <c r="Q1" s="1155"/>
      <c r="R1" s="1155"/>
      <c r="S1" s="1155"/>
      <c r="T1" s="1155"/>
      <c r="U1" s="1155"/>
      <c r="V1" s="1155"/>
      <c r="W1" s="1155"/>
      <c r="X1" s="1156"/>
    </row>
    <row r="2" spans="1:28" s="1157" customFormat="1" ht="15.75">
      <c r="A2" s="1154" t="s">
        <v>779</v>
      </c>
      <c r="B2" s="1155"/>
      <c r="C2" s="1155"/>
      <c r="D2" s="1155"/>
      <c r="E2" s="1155"/>
      <c r="F2" s="1155"/>
      <c r="G2" s="1155"/>
      <c r="H2" s="1155"/>
      <c r="I2" s="1155"/>
      <c r="J2" s="1155"/>
      <c r="K2" s="1155"/>
      <c r="L2" s="1155"/>
      <c r="M2" s="1155"/>
      <c r="N2" s="1155"/>
      <c r="O2" s="1155"/>
      <c r="P2" s="1155"/>
      <c r="Q2" s="1155"/>
      <c r="R2" s="1155"/>
      <c r="S2" s="1155"/>
      <c r="T2" s="1155"/>
      <c r="U2" s="1155"/>
      <c r="V2" s="1155"/>
      <c r="W2" s="1155"/>
      <c r="X2" s="1156"/>
    </row>
    <row r="3" spans="1:28" s="1159" customFormat="1" ht="15.75">
      <c r="A3" s="1158" t="s">
        <v>778</v>
      </c>
      <c r="X3" s="1160"/>
    </row>
    <row r="4" spans="1:28" ht="18.75" customHeight="1" thickBot="1">
      <c r="A4" s="1161" t="s">
        <v>777</v>
      </c>
      <c r="L4" s="1163"/>
      <c r="W4" s="1163"/>
    </row>
    <row r="5" spans="1:28" s="805" customFormat="1" ht="20.25" customHeight="1">
      <c r="A5" s="1165" t="s">
        <v>10</v>
      </c>
      <c r="B5" s="1697" t="s">
        <v>396</v>
      </c>
      <c r="C5" s="1698"/>
      <c r="D5" s="1698"/>
      <c r="E5" s="1698"/>
      <c r="F5" s="1698"/>
      <c r="G5" s="1698"/>
      <c r="H5" s="1698"/>
      <c r="I5" s="1698"/>
      <c r="J5" s="1698"/>
      <c r="K5" s="1698"/>
      <c r="L5" s="1699"/>
      <c r="M5" s="1697" t="s">
        <v>397</v>
      </c>
      <c r="N5" s="1698"/>
      <c r="O5" s="1698"/>
      <c r="P5" s="1698"/>
      <c r="Q5" s="1698"/>
      <c r="R5" s="1698"/>
      <c r="S5" s="1698"/>
      <c r="T5" s="1698"/>
      <c r="U5" s="1698"/>
      <c r="V5" s="1698"/>
      <c r="W5" s="1699"/>
      <c r="X5" s="1166"/>
    </row>
    <row r="6" spans="1:28" s="1174" customFormat="1" ht="85.5" customHeight="1">
      <c r="A6" s="1167" t="s">
        <v>9</v>
      </c>
      <c r="B6" s="1168" t="s">
        <v>323</v>
      </c>
      <c r="C6" s="1168" t="s">
        <v>126</v>
      </c>
      <c r="D6" s="1169" t="s">
        <v>282</v>
      </c>
      <c r="E6" s="1169" t="s">
        <v>280</v>
      </c>
      <c r="F6" s="1169" t="s">
        <v>284</v>
      </c>
      <c r="G6" s="1169" t="s">
        <v>285</v>
      </c>
      <c r="H6" s="1169" t="s">
        <v>286</v>
      </c>
      <c r="I6" s="1169" t="s">
        <v>293</v>
      </c>
      <c r="J6" s="1170" t="s">
        <v>288</v>
      </c>
      <c r="K6" s="1171" t="s">
        <v>290</v>
      </c>
      <c r="L6" s="1172" t="s">
        <v>292</v>
      </c>
      <c r="M6" s="1168" t="s">
        <v>323</v>
      </c>
      <c r="N6" s="1168" t="s">
        <v>126</v>
      </c>
      <c r="O6" s="1169" t="s">
        <v>282</v>
      </c>
      <c r="P6" s="1169" t="s">
        <v>280</v>
      </c>
      <c r="Q6" s="1169" t="s">
        <v>284</v>
      </c>
      <c r="R6" s="1169" t="s">
        <v>285</v>
      </c>
      <c r="S6" s="1169" t="s">
        <v>286</v>
      </c>
      <c r="T6" s="1169" t="s">
        <v>293</v>
      </c>
      <c r="U6" s="1170" t="s">
        <v>288</v>
      </c>
      <c r="V6" s="1171" t="s">
        <v>290</v>
      </c>
      <c r="W6" s="1172" t="s">
        <v>291</v>
      </c>
      <c r="X6" s="1173"/>
    </row>
    <row r="7" spans="1:28" ht="7.5" customHeight="1">
      <c r="A7" s="1175"/>
      <c r="B7" s="1176"/>
      <c r="C7" s="1176"/>
      <c r="D7" s="1176"/>
      <c r="E7" s="1176"/>
      <c r="F7" s="1176"/>
      <c r="G7" s="1176"/>
      <c r="H7" s="1176"/>
      <c r="I7" s="1176"/>
      <c r="J7" s="1176"/>
      <c r="K7" s="1176"/>
      <c r="L7" s="1177"/>
      <c r="M7" s="1176"/>
      <c r="N7" s="1176"/>
      <c r="O7" s="1176"/>
      <c r="P7" s="1176"/>
      <c r="Q7" s="1176"/>
      <c r="R7" s="1176"/>
      <c r="S7" s="1176"/>
      <c r="T7" s="1176"/>
      <c r="U7" s="1176"/>
      <c r="V7" s="1176"/>
      <c r="W7" s="1177"/>
      <c r="AA7" s="952"/>
      <c r="AB7" s="952"/>
    </row>
    <row r="8" spans="1:28" ht="14.1" customHeight="1">
      <c r="A8" s="1178" t="s">
        <v>7</v>
      </c>
      <c r="B8" s="1192">
        <f t="shared" ref="B8:W8" si="0">SUM(B9:B14)</f>
        <v>18</v>
      </c>
      <c r="C8" s="1192">
        <f t="shared" si="0"/>
        <v>0</v>
      </c>
      <c r="D8" s="1192">
        <f t="shared" si="0"/>
        <v>0</v>
      </c>
      <c r="E8" s="1192">
        <f t="shared" si="0"/>
        <v>5</v>
      </c>
      <c r="F8" s="1192">
        <f t="shared" si="0"/>
        <v>0</v>
      </c>
      <c r="G8" s="1192">
        <f t="shared" si="0"/>
        <v>0</v>
      </c>
      <c r="H8" s="1192">
        <f t="shared" si="0"/>
        <v>0</v>
      </c>
      <c r="I8" s="1192">
        <f t="shared" si="0"/>
        <v>0</v>
      </c>
      <c r="J8" s="1192">
        <f t="shared" si="0"/>
        <v>0</v>
      </c>
      <c r="K8" s="1192">
        <f t="shared" si="0"/>
        <v>23</v>
      </c>
      <c r="L8" s="1190">
        <f t="shared" si="0"/>
        <v>3592953</v>
      </c>
      <c r="M8" s="1192">
        <f t="shared" si="0"/>
        <v>15</v>
      </c>
      <c r="N8" s="1192">
        <f t="shared" si="0"/>
        <v>0</v>
      </c>
      <c r="O8" s="1192">
        <f t="shared" si="0"/>
        <v>0</v>
      </c>
      <c r="P8" s="1192">
        <f t="shared" si="0"/>
        <v>5</v>
      </c>
      <c r="Q8" s="1192">
        <f t="shared" si="0"/>
        <v>0</v>
      </c>
      <c r="R8" s="1192">
        <f t="shared" si="0"/>
        <v>0</v>
      </c>
      <c r="S8" s="1192">
        <f t="shared" si="0"/>
        <v>0</v>
      </c>
      <c r="T8" s="1192">
        <f t="shared" si="0"/>
        <v>0</v>
      </c>
      <c r="U8" s="1192">
        <f t="shared" si="0"/>
        <v>0</v>
      </c>
      <c r="V8" s="1192">
        <f t="shared" si="0"/>
        <v>20</v>
      </c>
      <c r="W8" s="1190">
        <f t="shared" si="0"/>
        <v>3249418</v>
      </c>
      <c r="X8" s="1180"/>
      <c r="AA8" s="952"/>
      <c r="AB8" s="952"/>
    </row>
    <row r="9" spans="1:28" ht="14.1" customHeight="1">
      <c r="A9" s="1195" t="s">
        <v>3</v>
      </c>
      <c r="B9" s="1196"/>
      <c r="C9" s="1196"/>
      <c r="D9" s="1196"/>
      <c r="E9" s="1196">
        <v>1</v>
      </c>
      <c r="F9" s="1196"/>
      <c r="G9" s="1196"/>
      <c r="H9" s="1196"/>
      <c r="I9" s="1196"/>
      <c r="J9" s="1196"/>
      <c r="K9" s="1201">
        <f>SUM(B9:J9)</f>
        <v>1</v>
      </c>
      <c r="L9" s="1197">
        <v>420000</v>
      </c>
      <c r="M9" s="1201"/>
      <c r="N9" s="1201"/>
      <c r="O9" s="1201"/>
      <c r="P9" s="1201">
        <v>1</v>
      </c>
      <c r="Q9" s="1201"/>
      <c r="R9" s="1201"/>
      <c r="S9" s="1201"/>
      <c r="T9" s="1201"/>
      <c r="U9" s="1201"/>
      <c r="V9" s="1196">
        <f>SUM(M9:U9)</f>
        <v>1</v>
      </c>
      <c r="W9" s="1197">
        <v>420000</v>
      </c>
      <c r="AA9" s="952"/>
      <c r="AB9" s="952"/>
    </row>
    <row r="10" spans="1:28" ht="14.1" customHeight="1">
      <c r="A10" s="1198" t="s">
        <v>1296</v>
      </c>
      <c r="B10" s="1199"/>
      <c r="C10" s="1199"/>
      <c r="D10" s="1199"/>
      <c r="E10" s="1199">
        <v>3</v>
      </c>
      <c r="F10" s="1199"/>
      <c r="G10" s="1199"/>
      <c r="H10" s="1199"/>
      <c r="I10" s="1199"/>
      <c r="J10" s="1199"/>
      <c r="K10" s="1199">
        <f t="shared" ref="K10:K14" si="1">SUM(B10:J10)</f>
        <v>3</v>
      </c>
      <c r="L10" s="1200">
        <v>1176000</v>
      </c>
      <c r="M10" s="1203"/>
      <c r="N10" s="1203"/>
      <c r="O10" s="1203"/>
      <c r="P10" s="1203">
        <v>3</v>
      </c>
      <c r="Q10" s="1203"/>
      <c r="R10" s="1203"/>
      <c r="S10" s="1203"/>
      <c r="T10" s="1203"/>
      <c r="U10" s="1203"/>
      <c r="V10" s="1199">
        <f t="shared" ref="V10:V14" si="2">SUM(M10:U10)</f>
        <v>3</v>
      </c>
      <c r="W10" s="1200">
        <v>1176000</v>
      </c>
      <c r="AA10" s="952"/>
      <c r="AB10" s="952"/>
    </row>
    <row r="11" spans="1:28" ht="14.1" customHeight="1">
      <c r="A11" s="1198" t="s">
        <v>4871</v>
      </c>
      <c r="B11" s="1199">
        <v>5</v>
      </c>
      <c r="C11" s="1199"/>
      <c r="D11" s="1199"/>
      <c r="E11" s="1199"/>
      <c r="F11" s="1199"/>
      <c r="G11" s="1199"/>
      <c r="H11" s="1199"/>
      <c r="I11" s="1199"/>
      <c r="J11" s="1199"/>
      <c r="K11" s="1199">
        <f t="shared" si="1"/>
        <v>5</v>
      </c>
      <c r="L11" s="1200">
        <v>185300</v>
      </c>
      <c r="M11" s="1203">
        <v>5</v>
      </c>
      <c r="N11" s="1203"/>
      <c r="O11" s="1203"/>
      <c r="P11" s="1203"/>
      <c r="Q11" s="1203"/>
      <c r="R11" s="1203"/>
      <c r="S11" s="1203"/>
      <c r="T11" s="1203"/>
      <c r="U11" s="1203"/>
      <c r="V11" s="1199">
        <f t="shared" si="2"/>
        <v>5</v>
      </c>
      <c r="W11" s="1200">
        <v>185300</v>
      </c>
      <c r="AA11" s="952"/>
      <c r="AB11" s="952"/>
    </row>
    <row r="12" spans="1:28" ht="14.1" customHeight="1">
      <c r="A12" s="1198" t="s">
        <v>1297</v>
      </c>
      <c r="B12" s="1199"/>
      <c r="C12" s="1199"/>
      <c r="D12" s="1199"/>
      <c r="E12" s="1199">
        <v>1</v>
      </c>
      <c r="F12" s="1199"/>
      <c r="G12" s="1199"/>
      <c r="H12" s="1199"/>
      <c r="I12" s="1199"/>
      <c r="J12" s="1199"/>
      <c r="K12" s="1199">
        <f t="shared" si="1"/>
        <v>1</v>
      </c>
      <c r="L12" s="1200">
        <v>350000</v>
      </c>
      <c r="M12" s="1203"/>
      <c r="N12" s="1203"/>
      <c r="O12" s="1203"/>
      <c r="P12" s="1203">
        <v>1</v>
      </c>
      <c r="Q12" s="1203"/>
      <c r="R12" s="1203"/>
      <c r="S12" s="1203"/>
      <c r="T12" s="1203"/>
      <c r="U12" s="1203"/>
      <c r="V12" s="1199">
        <f t="shared" si="2"/>
        <v>1</v>
      </c>
      <c r="W12" s="1200">
        <v>350000</v>
      </c>
      <c r="AA12" s="952"/>
      <c r="AB12" s="952"/>
    </row>
    <row r="13" spans="1:28" ht="14.1" customHeight="1">
      <c r="A13" s="1198" t="s">
        <v>1300</v>
      </c>
      <c r="B13" s="1199">
        <v>10</v>
      </c>
      <c r="C13" s="1199"/>
      <c r="D13" s="1199"/>
      <c r="E13" s="1199"/>
      <c r="F13" s="1199"/>
      <c r="G13" s="1199"/>
      <c r="H13" s="1199"/>
      <c r="I13" s="1199"/>
      <c r="J13" s="1199"/>
      <c r="K13" s="1199">
        <f t="shared" si="1"/>
        <v>10</v>
      </c>
      <c r="L13" s="1200">
        <v>1142756</v>
      </c>
      <c r="M13" s="1203">
        <v>7</v>
      </c>
      <c r="N13" s="1203"/>
      <c r="O13" s="1203"/>
      <c r="P13" s="1203"/>
      <c r="Q13" s="1203"/>
      <c r="R13" s="1203"/>
      <c r="S13" s="1203"/>
      <c r="T13" s="1203"/>
      <c r="U13" s="1203"/>
      <c r="V13" s="1199">
        <f t="shared" si="2"/>
        <v>7</v>
      </c>
      <c r="W13" s="1200">
        <v>799208</v>
      </c>
      <c r="AA13" s="952"/>
      <c r="AB13" s="952"/>
    </row>
    <row r="14" spans="1:28" ht="14.1" customHeight="1">
      <c r="A14" s="1198" t="s">
        <v>1301</v>
      </c>
      <c r="B14" s="1199">
        <v>3</v>
      </c>
      <c r="C14" s="1199"/>
      <c r="D14" s="1199"/>
      <c r="E14" s="1199"/>
      <c r="F14" s="1199"/>
      <c r="G14" s="1199"/>
      <c r="H14" s="1199"/>
      <c r="I14" s="1199"/>
      <c r="J14" s="1199"/>
      <c r="K14" s="1199">
        <f t="shared" si="1"/>
        <v>3</v>
      </c>
      <c r="L14" s="1200">
        <v>318897</v>
      </c>
      <c r="M14" s="1203">
        <v>3</v>
      </c>
      <c r="N14" s="1203"/>
      <c r="O14" s="1203"/>
      <c r="P14" s="1203"/>
      <c r="Q14" s="1203"/>
      <c r="R14" s="1203"/>
      <c r="S14" s="1203"/>
      <c r="T14" s="1203"/>
      <c r="U14" s="1203"/>
      <c r="V14" s="1199">
        <f t="shared" si="2"/>
        <v>3</v>
      </c>
      <c r="W14" s="1200">
        <v>318910</v>
      </c>
      <c r="AA14" s="952"/>
      <c r="AB14" s="952"/>
    </row>
    <row r="15" spans="1:28">
      <c r="A15" s="1181"/>
      <c r="B15" s="1176"/>
      <c r="C15" s="1176"/>
      <c r="D15" s="1176"/>
      <c r="E15" s="1176"/>
      <c r="F15" s="1176"/>
      <c r="G15" s="1176"/>
      <c r="H15" s="1176"/>
      <c r="I15" s="1176"/>
      <c r="J15" s="1176"/>
      <c r="K15" s="1176"/>
      <c r="L15" s="1189"/>
      <c r="M15" s="1176"/>
      <c r="N15" s="1176"/>
      <c r="O15" s="1176"/>
      <c r="P15" s="1176"/>
      <c r="Q15" s="1176"/>
      <c r="R15" s="1176"/>
      <c r="S15" s="1176"/>
      <c r="T15" s="1176"/>
      <c r="U15" s="1176"/>
      <c r="V15" s="1176"/>
      <c r="W15" s="1189"/>
      <c r="AA15" s="952"/>
      <c r="AB15" s="952"/>
    </row>
    <row r="16" spans="1:28" ht="14.1" customHeight="1">
      <c r="A16" s="1178" t="s">
        <v>4</v>
      </c>
      <c r="B16" s="1192">
        <f t="shared" ref="B16:W16" si="3">SUM(B17:B21)</f>
        <v>46</v>
      </c>
      <c r="C16" s="1192">
        <f t="shared" si="3"/>
        <v>0</v>
      </c>
      <c r="D16" s="1192">
        <f t="shared" si="3"/>
        <v>0</v>
      </c>
      <c r="E16" s="1192">
        <f t="shared" si="3"/>
        <v>0</v>
      </c>
      <c r="F16" s="1192">
        <f t="shared" si="3"/>
        <v>0</v>
      </c>
      <c r="G16" s="1192">
        <f t="shared" si="3"/>
        <v>0</v>
      </c>
      <c r="H16" s="1192">
        <f t="shared" si="3"/>
        <v>0</v>
      </c>
      <c r="I16" s="1192">
        <f t="shared" si="3"/>
        <v>0</v>
      </c>
      <c r="J16" s="1192">
        <f t="shared" si="3"/>
        <v>0</v>
      </c>
      <c r="K16" s="1192">
        <f t="shared" si="3"/>
        <v>46</v>
      </c>
      <c r="L16" s="1190">
        <f t="shared" si="3"/>
        <v>3635978</v>
      </c>
      <c r="M16" s="1192">
        <f t="shared" si="3"/>
        <v>44</v>
      </c>
      <c r="N16" s="1192">
        <f t="shared" si="3"/>
        <v>0</v>
      </c>
      <c r="O16" s="1192">
        <f t="shared" si="3"/>
        <v>0</v>
      </c>
      <c r="P16" s="1192">
        <f t="shared" si="3"/>
        <v>0</v>
      </c>
      <c r="Q16" s="1192">
        <f t="shared" si="3"/>
        <v>0</v>
      </c>
      <c r="R16" s="1192">
        <f t="shared" si="3"/>
        <v>0</v>
      </c>
      <c r="S16" s="1192">
        <f t="shared" si="3"/>
        <v>0</v>
      </c>
      <c r="T16" s="1192">
        <f t="shared" si="3"/>
        <v>0</v>
      </c>
      <c r="U16" s="1192">
        <f t="shared" si="3"/>
        <v>0</v>
      </c>
      <c r="V16" s="1192">
        <f t="shared" si="3"/>
        <v>44</v>
      </c>
      <c r="W16" s="1190">
        <f t="shared" si="3"/>
        <v>3422099</v>
      </c>
      <c r="X16" s="1180"/>
      <c r="AA16" s="952"/>
      <c r="AB16" s="952"/>
    </row>
    <row r="17" spans="1:28" ht="14.1" customHeight="1">
      <c r="A17" s="1195" t="s">
        <v>1302</v>
      </c>
      <c r="B17" s="1196">
        <v>18</v>
      </c>
      <c r="C17" s="1196"/>
      <c r="D17" s="1196"/>
      <c r="E17" s="1196"/>
      <c r="F17" s="1196"/>
      <c r="G17" s="1196"/>
      <c r="H17" s="1196"/>
      <c r="I17" s="1196"/>
      <c r="J17" s="1196"/>
      <c r="K17" s="1196">
        <f t="shared" ref="K17:K21" si="4">SUM(B17:J17)</f>
        <v>18</v>
      </c>
      <c r="L17" s="1197">
        <v>1482356</v>
      </c>
      <c r="M17" s="1201">
        <v>17</v>
      </c>
      <c r="N17" s="1201"/>
      <c r="O17" s="1201"/>
      <c r="P17" s="1201"/>
      <c r="Q17" s="1201"/>
      <c r="R17" s="1201"/>
      <c r="S17" s="1201"/>
      <c r="T17" s="1201"/>
      <c r="U17" s="1201"/>
      <c r="V17" s="1201">
        <f t="shared" ref="V17:V21" si="5">SUM(M17:U17)</f>
        <v>17</v>
      </c>
      <c r="W17" s="1197">
        <v>1402421</v>
      </c>
      <c r="AA17" s="952"/>
      <c r="AB17" s="952"/>
    </row>
    <row r="18" spans="1:28" ht="14.1" customHeight="1">
      <c r="A18" s="1198" t="s">
        <v>1303</v>
      </c>
      <c r="B18" s="1199">
        <v>20</v>
      </c>
      <c r="C18" s="1199"/>
      <c r="D18" s="1199"/>
      <c r="E18" s="1199"/>
      <c r="F18" s="1199"/>
      <c r="G18" s="1199"/>
      <c r="H18" s="1199"/>
      <c r="I18" s="1199"/>
      <c r="J18" s="1199"/>
      <c r="K18" s="1199">
        <f t="shared" si="4"/>
        <v>20</v>
      </c>
      <c r="L18" s="1200">
        <v>1584906</v>
      </c>
      <c r="M18" s="1203">
        <v>20</v>
      </c>
      <c r="N18" s="1203"/>
      <c r="O18" s="1203"/>
      <c r="P18" s="1203"/>
      <c r="Q18" s="1203"/>
      <c r="R18" s="1203"/>
      <c r="S18" s="1203"/>
      <c r="T18" s="1203"/>
      <c r="U18" s="1203"/>
      <c r="V18" s="1203">
        <f t="shared" si="5"/>
        <v>20</v>
      </c>
      <c r="W18" s="1200">
        <v>1520964</v>
      </c>
      <c r="AA18" s="952"/>
      <c r="AB18" s="952"/>
    </row>
    <row r="19" spans="1:28" ht="14.1" customHeight="1">
      <c r="A19" s="1198" t="s">
        <v>1304</v>
      </c>
      <c r="B19" s="1199">
        <v>5</v>
      </c>
      <c r="C19" s="1199"/>
      <c r="D19" s="1199"/>
      <c r="E19" s="1199"/>
      <c r="F19" s="1199"/>
      <c r="G19" s="1199"/>
      <c r="H19" s="1199"/>
      <c r="I19" s="1199"/>
      <c r="J19" s="1199"/>
      <c r="K19" s="1199">
        <f t="shared" si="4"/>
        <v>5</v>
      </c>
      <c r="L19" s="1200">
        <v>363576</v>
      </c>
      <c r="M19" s="1203">
        <v>4</v>
      </c>
      <c r="N19" s="1203"/>
      <c r="O19" s="1203"/>
      <c r="P19" s="1203"/>
      <c r="Q19" s="1203"/>
      <c r="R19" s="1203"/>
      <c r="S19" s="1203"/>
      <c r="T19" s="1203"/>
      <c r="U19" s="1203"/>
      <c r="V19" s="1203">
        <f t="shared" si="5"/>
        <v>4</v>
      </c>
      <c r="W19" s="1200">
        <v>292421</v>
      </c>
      <c r="AA19" s="952"/>
      <c r="AB19" s="952"/>
    </row>
    <row r="20" spans="1:28" ht="14.1" customHeight="1">
      <c r="A20" s="1198" t="s">
        <v>1305</v>
      </c>
      <c r="B20" s="1199">
        <v>2</v>
      </c>
      <c r="C20" s="1199"/>
      <c r="D20" s="1199"/>
      <c r="E20" s="1199"/>
      <c r="F20" s="1199"/>
      <c r="G20" s="1199"/>
      <c r="H20" s="1199"/>
      <c r="I20" s="1199"/>
      <c r="J20" s="1199"/>
      <c r="K20" s="1199">
        <f t="shared" si="4"/>
        <v>2</v>
      </c>
      <c r="L20" s="1200">
        <v>140672</v>
      </c>
      <c r="M20" s="1203">
        <v>2</v>
      </c>
      <c r="N20" s="1203"/>
      <c r="O20" s="1203"/>
      <c r="P20" s="1203"/>
      <c r="Q20" s="1203"/>
      <c r="R20" s="1203"/>
      <c r="S20" s="1203"/>
      <c r="T20" s="1203"/>
      <c r="U20" s="1203"/>
      <c r="V20" s="1203">
        <f t="shared" si="5"/>
        <v>2</v>
      </c>
      <c r="W20" s="1200">
        <v>140983</v>
      </c>
      <c r="AA20" s="952"/>
      <c r="AB20" s="952"/>
    </row>
    <row r="21" spans="1:28" ht="14.1" customHeight="1">
      <c r="A21" s="1198" t="s">
        <v>1306</v>
      </c>
      <c r="B21" s="1199">
        <v>1</v>
      </c>
      <c r="C21" s="1199"/>
      <c r="D21" s="1199"/>
      <c r="E21" s="1199"/>
      <c r="F21" s="1199"/>
      <c r="G21" s="1199"/>
      <c r="H21" s="1199"/>
      <c r="I21" s="1199"/>
      <c r="J21" s="1199"/>
      <c r="K21" s="1199">
        <f t="shared" si="4"/>
        <v>1</v>
      </c>
      <c r="L21" s="1200">
        <v>64468</v>
      </c>
      <c r="M21" s="1203">
        <v>1</v>
      </c>
      <c r="N21" s="1203"/>
      <c r="O21" s="1203"/>
      <c r="P21" s="1203"/>
      <c r="Q21" s="1203"/>
      <c r="R21" s="1203"/>
      <c r="S21" s="1203"/>
      <c r="T21" s="1203"/>
      <c r="U21" s="1203"/>
      <c r="V21" s="1203">
        <f t="shared" si="5"/>
        <v>1</v>
      </c>
      <c r="W21" s="1200">
        <v>65310</v>
      </c>
      <c r="AA21" s="952"/>
      <c r="AB21" s="952"/>
    </row>
    <row r="22" spans="1:28">
      <c r="A22" s="1175"/>
      <c r="B22" s="1176"/>
      <c r="C22" s="1176"/>
      <c r="D22" s="1176"/>
      <c r="E22" s="1176"/>
      <c r="F22" s="1176"/>
      <c r="G22" s="1176"/>
      <c r="H22" s="1176"/>
      <c r="I22" s="1176"/>
      <c r="J22" s="1176"/>
      <c r="K22" s="1176"/>
      <c r="L22" s="1189"/>
      <c r="M22" s="1176"/>
      <c r="N22" s="1176"/>
      <c r="O22" s="1176"/>
      <c r="P22" s="1176"/>
      <c r="Q22" s="1176"/>
      <c r="R22" s="1176"/>
      <c r="S22" s="1176"/>
      <c r="T22" s="1176"/>
      <c r="U22" s="1176"/>
      <c r="V22" s="1176"/>
      <c r="W22" s="1189"/>
      <c r="AA22" s="952"/>
      <c r="AB22" s="952"/>
    </row>
    <row r="23" spans="1:28" ht="14.1" customHeight="1">
      <c r="A23" s="1178" t="s">
        <v>5</v>
      </c>
      <c r="B23" s="1192">
        <f t="shared" ref="B23:W23" si="6">SUM(B24:B28)</f>
        <v>48</v>
      </c>
      <c r="C23" s="1192">
        <f t="shared" si="6"/>
        <v>0</v>
      </c>
      <c r="D23" s="1192">
        <f t="shared" si="6"/>
        <v>0</v>
      </c>
      <c r="E23" s="1192">
        <f t="shared" si="6"/>
        <v>0</v>
      </c>
      <c r="F23" s="1192">
        <f t="shared" si="6"/>
        <v>0</v>
      </c>
      <c r="G23" s="1192">
        <f t="shared" si="6"/>
        <v>0</v>
      </c>
      <c r="H23" s="1192">
        <f t="shared" si="6"/>
        <v>0</v>
      </c>
      <c r="I23" s="1192">
        <f t="shared" si="6"/>
        <v>0</v>
      </c>
      <c r="J23" s="1192">
        <f t="shared" si="6"/>
        <v>0</v>
      </c>
      <c r="K23" s="1192">
        <f t="shared" si="6"/>
        <v>48</v>
      </c>
      <c r="L23" s="1190">
        <f t="shared" si="6"/>
        <v>2248372</v>
      </c>
      <c r="M23" s="1192">
        <f t="shared" si="6"/>
        <v>46</v>
      </c>
      <c r="N23" s="1192">
        <f t="shared" si="6"/>
        <v>0</v>
      </c>
      <c r="O23" s="1192">
        <f t="shared" si="6"/>
        <v>0</v>
      </c>
      <c r="P23" s="1192">
        <f t="shared" si="6"/>
        <v>0</v>
      </c>
      <c r="Q23" s="1192">
        <f t="shared" si="6"/>
        <v>0</v>
      </c>
      <c r="R23" s="1192">
        <f t="shared" si="6"/>
        <v>0</v>
      </c>
      <c r="S23" s="1192">
        <f t="shared" si="6"/>
        <v>0</v>
      </c>
      <c r="T23" s="1192">
        <f t="shared" si="6"/>
        <v>0</v>
      </c>
      <c r="U23" s="1192">
        <f t="shared" si="6"/>
        <v>0</v>
      </c>
      <c r="V23" s="1192">
        <f t="shared" si="6"/>
        <v>46</v>
      </c>
      <c r="W23" s="1190">
        <f t="shared" si="6"/>
        <v>2168478</v>
      </c>
      <c r="X23" s="1180"/>
      <c r="AA23" s="952"/>
      <c r="AB23" s="952"/>
    </row>
    <row r="24" spans="1:28" ht="14.1" customHeight="1">
      <c r="A24" s="1195" t="s">
        <v>1307</v>
      </c>
      <c r="B24" s="1196">
        <v>2</v>
      </c>
      <c r="C24" s="1196"/>
      <c r="D24" s="1196"/>
      <c r="E24" s="1196"/>
      <c r="F24" s="1196"/>
      <c r="G24" s="1196"/>
      <c r="H24" s="1196"/>
      <c r="I24" s="1196"/>
      <c r="J24" s="1196"/>
      <c r="K24" s="1196">
        <f t="shared" ref="K24:K28" si="7">SUM(B24:J24)</f>
        <v>2</v>
      </c>
      <c r="L24" s="1197">
        <v>102721</v>
      </c>
      <c r="M24" s="1201">
        <v>2</v>
      </c>
      <c r="N24" s="1201"/>
      <c r="O24" s="1201"/>
      <c r="P24" s="1201"/>
      <c r="Q24" s="1201"/>
      <c r="R24" s="1201"/>
      <c r="S24" s="1201"/>
      <c r="T24" s="1201"/>
      <c r="U24" s="1201"/>
      <c r="V24" s="1201">
        <f t="shared" ref="V24:V28" si="8">SUM(M24:U24)</f>
        <v>2</v>
      </c>
      <c r="W24" s="1197">
        <v>103639</v>
      </c>
      <c r="AA24" s="952"/>
      <c r="AB24" s="952"/>
    </row>
    <row r="25" spans="1:28" ht="14.1" customHeight="1">
      <c r="A25" s="1198" t="s">
        <v>1308</v>
      </c>
      <c r="B25" s="1199">
        <v>12</v>
      </c>
      <c r="C25" s="1199"/>
      <c r="D25" s="1199"/>
      <c r="E25" s="1199"/>
      <c r="F25" s="1199"/>
      <c r="G25" s="1199"/>
      <c r="H25" s="1199"/>
      <c r="I25" s="1199"/>
      <c r="J25" s="1199"/>
      <c r="K25" s="1199">
        <f t="shared" si="7"/>
        <v>12</v>
      </c>
      <c r="L25" s="1200">
        <v>589962</v>
      </c>
      <c r="M25" s="1203">
        <v>12</v>
      </c>
      <c r="N25" s="1203"/>
      <c r="O25" s="1203"/>
      <c r="P25" s="1203"/>
      <c r="Q25" s="1203"/>
      <c r="R25" s="1203"/>
      <c r="S25" s="1203"/>
      <c r="T25" s="1203"/>
      <c r="U25" s="1203"/>
      <c r="V25" s="1203">
        <f t="shared" si="8"/>
        <v>12</v>
      </c>
      <c r="W25" s="1200">
        <v>592599</v>
      </c>
      <c r="AA25" s="952"/>
      <c r="AB25" s="952"/>
    </row>
    <row r="26" spans="1:28" ht="14.1" customHeight="1">
      <c r="A26" s="1198" t="s">
        <v>1309</v>
      </c>
      <c r="B26" s="1199">
        <v>28</v>
      </c>
      <c r="C26" s="1199"/>
      <c r="D26" s="1199"/>
      <c r="E26" s="1199"/>
      <c r="F26" s="1199"/>
      <c r="G26" s="1199"/>
      <c r="H26" s="1199"/>
      <c r="I26" s="1199"/>
      <c r="J26" s="1199"/>
      <c r="K26" s="1199">
        <f t="shared" si="7"/>
        <v>28</v>
      </c>
      <c r="L26" s="1200">
        <v>1295349</v>
      </c>
      <c r="M26" s="1203">
        <v>26</v>
      </c>
      <c r="N26" s="1203"/>
      <c r="O26" s="1203"/>
      <c r="P26" s="1203"/>
      <c r="Q26" s="1203"/>
      <c r="R26" s="1203"/>
      <c r="S26" s="1203"/>
      <c r="T26" s="1203"/>
      <c r="U26" s="1203"/>
      <c r="V26" s="1203">
        <f t="shared" si="8"/>
        <v>26</v>
      </c>
      <c r="W26" s="1200">
        <v>1208590</v>
      </c>
      <c r="AA26" s="952"/>
      <c r="AB26" s="952"/>
    </row>
    <row r="27" spans="1:28" ht="14.1" customHeight="1">
      <c r="A27" s="1198" t="s">
        <v>1310</v>
      </c>
      <c r="B27" s="1199">
        <v>5</v>
      </c>
      <c r="C27" s="1199"/>
      <c r="D27" s="1199"/>
      <c r="E27" s="1199"/>
      <c r="F27" s="1199"/>
      <c r="G27" s="1199"/>
      <c r="H27" s="1199"/>
      <c r="I27" s="1199"/>
      <c r="J27" s="1199"/>
      <c r="K27" s="1199">
        <f t="shared" si="7"/>
        <v>5</v>
      </c>
      <c r="L27" s="1200">
        <v>219811.99999999997</v>
      </c>
      <c r="M27" s="1203">
        <v>5</v>
      </c>
      <c r="N27" s="1203"/>
      <c r="O27" s="1203"/>
      <c r="P27" s="1203"/>
      <c r="Q27" s="1203"/>
      <c r="R27" s="1203"/>
      <c r="S27" s="1203"/>
      <c r="T27" s="1203"/>
      <c r="U27" s="1203"/>
      <c r="V27" s="1203">
        <f t="shared" si="8"/>
        <v>5</v>
      </c>
      <c r="W27" s="1200">
        <v>221701</v>
      </c>
      <c r="AA27" s="952"/>
      <c r="AB27" s="952"/>
    </row>
    <row r="28" spans="1:28" ht="14.1" customHeight="1">
      <c r="A28" s="1198" t="s">
        <v>1311</v>
      </c>
      <c r="B28" s="1199">
        <v>1</v>
      </c>
      <c r="C28" s="1199"/>
      <c r="D28" s="1199"/>
      <c r="E28" s="1199"/>
      <c r="F28" s="1199"/>
      <c r="G28" s="1199"/>
      <c r="H28" s="1199"/>
      <c r="I28" s="1199"/>
      <c r="J28" s="1199"/>
      <c r="K28" s="1199">
        <f t="shared" si="7"/>
        <v>1</v>
      </c>
      <c r="L28" s="1200">
        <v>40528</v>
      </c>
      <c r="M28" s="1203">
        <v>1</v>
      </c>
      <c r="N28" s="1203"/>
      <c r="O28" s="1203"/>
      <c r="P28" s="1203"/>
      <c r="Q28" s="1203"/>
      <c r="R28" s="1203"/>
      <c r="S28" s="1203"/>
      <c r="T28" s="1203"/>
      <c r="U28" s="1203"/>
      <c r="V28" s="1203">
        <f t="shared" si="8"/>
        <v>1</v>
      </c>
      <c r="W28" s="1200">
        <v>41949</v>
      </c>
      <c r="AA28" s="952"/>
      <c r="AB28" s="952"/>
    </row>
    <row r="29" spans="1:28">
      <c r="A29" s="1175"/>
      <c r="B29" s="1176"/>
      <c r="C29" s="1176"/>
      <c r="D29" s="1176"/>
      <c r="E29" s="1176"/>
      <c r="F29" s="1176"/>
      <c r="G29" s="1176"/>
      <c r="H29" s="1176"/>
      <c r="I29" s="1176"/>
      <c r="J29" s="1176"/>
      <c r="K29" s="1176"/>
      <c r="L29" s="1189"/>
      <c r="M29" s="1176"/>
      <c r="N29" s="1176"/>
      <c r="O29" s="1176"/>
      <c r="P29" s="1176"/>
      <c r="Q29" s="1176"/>
      <c r="R29" s="1176"/>
      <c r="S29" s="1176"/>
      <c r="T29" s="1176"/>
      <c r="U29" s="1176"/>
      <c r="V29" s="1176"/>
      <c r="W29" s="1189"/>
      <c r="AA29" s="952"/>
      <c r="AB29" s="952"/>
    </row>
    <row r="30" spans="1:28" ht="14.1" customHeight="1">
      <c r="A30" s="1178" t="s">
        <v>6</v>
      </c>
      <c r="B30" s="1192">
        <f t="shared" ref="B30:W30" si="9">SUM(B31:B32)</f>
        <v>3</v>
      </c>
      <c r="C30" s="1192">
        <f t="shared" si="9"/>
        <v>0</v>
      </c>
      <c r="D30" s="1192">
        <f t="shared" si="9"/>
        <v>0</v>
      </c>
      <c r="E30" s="1192">
        <f t="shared" si="9"/>
        <v>0</v>
      </c>
      <c r="F30" s="1192">
        <f t="shared" si="9"/>
        <v>0</v>
      </c>
      <c r="G30" s="1192">
        <f t="shared" si="9"/>
        <v>0</v>
      </c>
      <c r="H30" s="1192">
        <f t="shared" si="9"/>
        <v>0</v>
      </c>
      <c r="I30" s="1192">
        <f t="shared" si="9"/>
        <v>0</v>
      </c>
      <c r="J30" s="1192">
        <f t="shared" si="9"/>
        <v>0</v>
      </c>
      <c r="K30" s="1192">
        <f t="shared" si="9"/>
        <v>3</v>
      </c>
      <c r="L30" s="1190">
        <f t="shared" si="9"/>
        <v>107652</v>
      </c>
      <c r="M30" s="1192">
        <f t="shared" si="9"/>
        <v>3</v>
      </c>
      <c r="N30" s="1192">
        <f t="shared" si="9"/>
        <v>0</v>
      </c>
      <c r="O30" s="1192">
        <f t="shared" si="9"/>
        <v>0</v>
      </c>
      <c r="P30" s="1192">
        <f t="shared" si="9"/>
        <v>0</v>
      </c>
      <c r="Q30" s="1192">
        <f t="shared" si="9"/>
        <v>0</v>
      </c>
      <c r="R30" s="1192">
        <f t="shared" si="9"/>
        <v>0</v>
      </c>
      <c r="S30" s="1192">
        <f t="shared" si="9"/>
        <v>0</v>
      </c>
      <c r="T30" s="1192">
        <f t="shared" si="9"/>
        <v>0</v>
      </c>
      <c r="U30" s="1192">
        <f t="shared" si="9"/>
        <v>0</v>
      </c>
      <c r="V30" s="1192">
        <f t="shared" si="9"/>
        <v>3</v>
      </c>
      <c r="W30" s="1190">
        <f t="shared" si="9"/>
        <v>108665</v>
      </c>
      <c r="X30" s="1180"/>
      <c r="AA30" s="952"/>
      <c r="AB30" s="952"/>
    </row>
    <row r="31" spans="1:28" ht="14.1" customHeight="1">
      <c r="A31" s="1195" t="s">
        <v>1312</v>
      </c>
      <c r="B31" s="1196">
        <v>2</v>
      </c>
      <c r="C31" s="1196"/>
      <c r="D31" s="1196"/>
      <c r="E31" s="1196"/>
      <c r="F31" s="1196"/>
      <c r="G31" s="1196"/>
      <c r="H31" s="1196"/>
      <c r="I31" s="1196"/>
      <c r="J31" s="1196"/>
      <c r="K31" s="1196">
        <f t="shared" ref="K31:K32" si="10">SUM(B31:J31)</f>
        <v>2</v>
      </c>
      <c r="L31" s="1197">
        <v>73592</v>
      </c>
      <c r="M31" s="1201">
        <v>2</v>
      </c>
      <c r="N31" s="1201"/>
      <c r="O31" s="1201"/>
      <c r="P31" s="1201"/>
      <c r="Q31" s="1201"/>
      <c r="R31" s="1201"/>
      <c r="S31" s="1201"/>
      <c r="T31" s="1201"/>
      <c r="U31" s="1201"/>
      <c r="V31" s="1199">
        <f t="shared" ref="V31:V32" si="11">SUM(M31:U31)</f>
        <v>2</v>
      </c>
      <c r="W31" s="1197">
        <v>74292</v>
      </c>
      <c r="AA31" s="952"/>
      <c r="AB31" s="952"/>
    </row>
    <row r="32" spans="1:28" ht="14.1" customHeight="1">
      <c r="A32" s="1198" t="s">
        <v>1314</v>
      </c>
      <c r="B32" s="1199">
        <v>1</v>
      </c>
      <c r="C32" s="1199"/>
      <c r="D32" s="1199"/>
      <c r="E32" s="1199"/>
      <c r="F32" s="1199"/>
      <c r="G32" s="1199"/>
      <c r="H32" s="1199"/>
      <c r="I32" s="1199"/>
      <c r="J32" s="1199"/>
      <c r="K32" s="1199">
        <f t="shared" si="10"/>
        <v>1</v>
      </c>
      <c r="L32" s="1200">
        <v>34060</v>
      </c>
      <c r="M32" s="1203">
        <v>1</v>
      </c>
      <c r="N32" s="1203"/>
      <c r="O32" s="1203"/>
      <c r="P32" s="1203"/>
      <c r="Q32" s="1203"/>
      <c r="R32" s="1203"/>
      <c r="S32" s="1203"/>
      <c r="T32" s="1203"/>
      <c r="U32" s="1203"/>
      <c r="V32" s="1199">
        <f t="shared" si="11"/>
        <v>1</v>
      </c>
      <c r="W32" s="1200">
        <v>34373</v>
      </c>
      <c r="AA32" s="952"/>
      <c r="AB32" s="952"/>
    </row>
    <row r="33" spans="1:28">
      <c r="A33" s="1175"/>
      <c r="B33" s="1193"/>
      <c r="C33" s="1193"/>
      <c r="D33" s="1193"/>
      <c r="E33" s="1193"/>
      <c r="F33" s="1193"/>
      <c r="G33" s="1193"/>
      <c r="H33" s="1193"/>
      <c r="I33" s="1193"/>
      <c r="J33" s="1193"/>
      <c r="K33" s="1193"/>
      <c r="L33" s="1189"/>
      <c r="M33" s="1176"/>
      <c r="N33" s="1176"/>
      <c r="O33" s="1176"/>
      <c r="P33" s="1176"/>
      <c r="Q33" s="1176"/>
      <c r="R33" s="1176"/>
      <c r="S33" s="1176"/>
      <c r="T33" s="1176"/>
      <c r="U33" s="1176"/>
      <c r="V33" s="1193"/>
      <c r="W33" s="1189"/>
      <c r="AA33" s="952"/>
      <c r="AB33" s="952"/>
    </row>
    <row r="34" spans="1:28" ht="14.1" customHeight="1">
      <c r="A34" s="1178" t="s">
        <v>774</v>
      </c>
      <c r="B34" s="1192">
        <f>SUM(B35)</f>
        <v>0</v>
      </c>
      <c r="C34" s="1192">
        <f>SUM(C35)</f>
        <v>0</v>
      </c>
      <c r="D34" s="1192">
        <f t="shared" ref="D34:J34" si="12">SUM(D35)</f>
        <v>550</v>
      </c>
      <c r="E34" s="1192">
        <f t="shared" si="12"/>
        <v>0</v>
      </c>
      <c r="F34" s="1192">
        <f t="shared" si="12"/>
        <v>0</v>
      </c>
      <c r="G34" s="1192">
        <f t="shared" si="12"/>
        <v>0</v>
      </c>
      <c r="H34" s="1192">
        <f t="shared" si="12"/>
        <v>0</v>
      </c>
      <c r="I34" s="1192">
        <f t="shared" si="12"/>
        <v>0</v>
      </c>
      <c r="J34" s="1192">
        <f t="shared" si="12"/>
        <v>0</v>
      </c>
      <c r="K34" s="1192">
        <f t="shared" ref="K34:Q34" si="13">SUM(K35)</f>
        <v>550</v>
      </c>
      <c r="L34" s="1190">
        <f t="shared" si="13"/>
        <v>52788464</v>
      </c>
      <c r="M34" s="1192">
        <f t="shared" si="13"/>
        <v>0</v>
      </c>
      <c r="N34" s="1192">
        <f t="shared" si="13"/>
        <v>0</v>
      </c>
      <c r="O34" s="1192">
        <f t="shared" si="13"/>
        <v>559</v>
      </c>
      <c r="P34" s="1192">
        <f t="shared" si="13"/>
        <v>0</v>
      </c>
      <c r="Q34" s="1192">
        <f t="shared" si="13"/>
        <v>0</v>
      </c>
      <c r="R34" s="1192">
        <f t="shared" ref="R34:V34" si="14">SUM(R35)</f>
        <v>0</v>
      </c>
      <c r="S34" s="1192">
        <f t="shared" si="14"/>
        <v>0</v>
      </c>
      <c r="T34" s="1192">
        <f t="shared" si="14"/>
        <v>0</v>
      </c>
      <c r="U34" s="1192">
        <f t="shared" si="14"/>
        <v>0</v>
      </c>
      <c r="V34" s="1192">
        <f t="shared" si="14"/>
        <v>559</v>
      </c>
      <c r="W34" s="1190">
        <f>SUM(W35)</f>
        <v>41922876</v>
      </c>
      <c r="AA34" s="952"/>
      <c r="AB34" s="952"/>
    </row>
    <row r="35" spans="1:28" ht="14.1" customHeight="1">
      <c r="A35" s="1205" t="s">
        <v>96</v>
      </c>
      <c r="B35" s="1206"/>
      <c r="C35" s="1206"/>
      <c r="D35" s="1206">
        <v>550</v>
      </c>
      <c r="E35" s="1206"/>
      <c r="F35" s="1206"/>
      <c r="G35" s="1206"/>
      <c r="H35" s="1206"/>
      <c r="I35" s="1206"/>
      <c r="J35" s="1206"/>
      <c r="K35" s="1196">
        <f t="shared" ref="K35" si="15">SUM(B35:J35)</f>
        <v>550</v>
      </c>
      <c r="L35" s="1247">
        <v>52788464</v>
      </c>
      <c r="M35" s="1206"/>
      <c r="N35" s="1206"/>
      <c r="O35" s="1206">
        <v>559</v>
      </c>
      <c r="P35" s="1206"/>
      <c r="Q35" s="1206"/>
      <c r="R35" s="1206"/>
      <c r="S35" s="1206"/>
      <c r="T35" s="1206"/>
      <c r="U35" s="1206"/>
      <c r="V35" s="1196">
        <f>SUM(M35:U35)</f>
        <v>559</v>
      </c>
      <c r="W35" s="1247">
        <v>41922876</v>
      </c>
      <c r="AA35" s="952"/>
      <c r="AB35" s="952"/>
    </row>
    <row r="36" spans="1:28">
      <c r="A36" s="1188"/>
      <c r="B36" s="1187"/>
      <c r="C36" s="1187"/>
      <c r="D36" s="1187"/>
      <c r="E36" s="1187"/>
      <c r="F36" s="1187"/>
      <c r="G36" s="1187"/>
      <c r="H36" s="1187"/>
      <c r="I36" s="1187"/>
      <c r="J36" s="1187"/>
      <c r="K36" s="1187"/>
      <c r="L36" s="1248"/>
      <c r="M36" s="1187"/>
      <c r="N36" s="1187"/>
      <c r="O36" s="1187"/>
      <c r="P36" s="1187"/>
      <c r="Q36" s="1187"/>
      <c r="R36" s="1187"/>
      <c r="S36" s="1187"/>
      <c r="T36" s="1187"/>
      <c r="U36" s="1187"/>
      <c r="V36" s="1187"/>
      <c r="W36" s="1248"/>
      <c r="AA36" s="952"/>
      <c r="AB36" s="952"/>
    </row>
    <row r="37" spans="1:28" ht="14.1" customHeight="1">
      <c r="A37" s="1178" t="s">
        <v>775</v>
      </c>
      <c r="B37" s="1192">
        <f>SUM(B38)</f>
        <v>0</v>
      </c>
      <c r="C37" s="1192">
        <f>SUM(C38)</f>
        <v>0</v>
      </c>
      <c r="D37" s="1192">
        <f t="shared" ref="D37" si="16">SUM(D38)</f>
        <v>0</v>
      </c>
      <c r="E37" s="1192">
        <f t="shared" ref="E37" si="17">SUM(E38)</f>
        <v>0</v>
      </c>
      <c r="F37" s="1192">
        <f t="shared" ref="F37" si="18">SUM(F38)</f>
        <v>0</v>
      </c>
      <c r="G37" s="1192">
        <f t="shared" ref="G37" si="19">SUM(G38)</f>
        <v>0</v>
      </c>
      <c r="H37" s="1192">
        <f t="shared" ref="H37" si="20">SUM(H38)</f>
        <v>0</v>
      </c>
      <c r="I37" s="1192">
        <f t="shared" ref="I37" si="21">SUM(I38)</f>
        <v>25</v>
      </c>
      <c r="J37" s="1192">
        <f t="shared" ref="J37" si="22">SUM(J38)</f>
        <v>0</v>
      </c>
      <c r="K37" s="1192">
        <f t="shared" ref="K37:Q37" si="23">SUM(K38)</f>
        <v>25</v>
      </c>
      <c r="L37" s="1190">
        <f t="shared" si="23"/>
        <v>498480</v>
      </c>
      <c r="M37" s="1192">
        <f t="shared" si="23"/>
        <v>0</v>
      </c>
      <c r="N37" s="1192">
        <f t="shared" si="23"/>
        <v>0</v>
      </c>
      <c r="O37" s="1192">
        <f t="shared" si="23"/>
        <v>0</v>
      </c>
      <c r="P37" s="1192">
        <f t="shared" si="23"/>
        <v>0</v>
      </c>
      <c r="Q37" s="1192">
        <f t="shared" si="23"/>
        <v>0</v>
      </c>
      <c r="R37" s="1192">
        <f t="shared" ref="R37" si="24">SUM(R38)</f>
        <v>0</v>
      </c>
      <c r="S37" s="1192">
        <f t="shared" ref="S37" si="25">SUM(S38)</f>
        <v>0</v>
      </c>
      <c r="T37" s="1192">
        <f t="shared" ref="T37" si="26">SUM(T38)</f>
        <v>60</v>
      </c>
      <c r="U37" s="1192">
        <f>SUM(U38)</f>
        <v>0</v>
      </c>
      <c r="V37" s="1192">
        <f>SUM(V38)</f>
        <v>60</v>
      </c>
      <c r="W37" s="1190">
        <f>SUM(W38)</f>
        <v>1026218</v>
      </c>
      <c r="AA37" s="952"/>
      <c r="AB37" s="952"/>
    </row>
    <row r="38" spans="1:28" ht="14.1" customHeight="1">
      <c r="A38" s="1205" t="s">
        <v>776</v>
      </c>
      <c r="B38" s="1206"/>
      <c r="C38" s="1206"/>
      <c r="D38" s="1206"/>
      <c r="E38" s="1206"/>
      <c r="F38" s="1206"/>
      <c r="G38" s="1206"/>
      <c r="H38" s="1206"/>
      <c r="I38" s="1206">
        <v>25</v>
      </c>
      <c r="J38" s="1206"/>
      <c r="K38" s="1196">
        <f t="shared" ref="K38" si="27">SUM(B38:J38)</f>
        <v>25</v>
      </c>
      <c r="L38" s="1247">
        <v>498480</v>
      </c>
      <c r="M38" s="1206"/>
      <c r="N38" s="1206"/>
      <c r="O38" s="1206"/>
      <c r="P38" s="1206"/>
      <c r="Q38" s="1206"/>
      <c r="R38" s="1206"/>
      <c r="S38" s="1206"/>
      <c r="T38" s="1206">
        <v>60</v>
      </c>
      <c r="U38" s="1206"/>
      <c r="V38" s="1196">
        <f>SUM(M38:U38)</f>
        <v>60</v>
      </c>
      <c r="W38" s="1247">
        <v>1026218</v>
      </c>
      <c r="AA38" s="952"/>
      <c r="AB38" s="952"/>
    </row>
    <row r="39" spans="1:28" ht="13.5" thickBot="1">
      <c r="A39" s="1175"/>
      <c r="B39" s="1176"/>
      <c r="C39" s="1176"/>
      <c r="D39" s="1176"/>
      <c r="E39" s="1176"/>
      <c r="F39" s="1176"/>
      <c r="G39" s="1176"/>
      <c r="H39" s="1176"/>
      <c r="I39" s="1176"/>
      <c r="J39" s="1176"/>
      <c r="K39" s="1176"/>
      <c r="L39" s="1189"/>
      <c r="M39" s="1176"/>
      <c r="N39" s="1176"/>
      <c r="O39" s="1176"/>
      <c r="P39" s="1176"/>
      <c r="Q39" s="1176"/>
      <c r="R39" s="1176"/>
      <c r="S39" s="1176"/>
      <c r="T39" s="1176"/>
      <c r="U39" s="1176"/>
      <c r="V39" s="1176"/>
      <c r="W39" s="1189"/>
      <c r="AA39" s="952"/>
      <c r="AB39" s="952"/>
    </row>
    <row r="40" spans="1:28" ht="14.25" customHeight="1" thickBot="1">
      <c r="A40" s="1182" t="s">
        <v>20</v>
      </c>
      <c r="B40" s="1250">
        <f t="shared" ref="B40:W40" si="28">+B8+B16+B23+B30+B34+B37</f>
        <v>115</v>
      </c>
      <c r="C40" s="1194">
        <f t="shared" si="28"/>
        <v>0</v>
      </c>
      <c r="D40" s="1194">
        <f t="shared" si="28"/>
        <v>550</v>
      </c>
      <c r="E40" s="1194">
        <f t="shared" si="28"/>
        <v>5</v>
      </c>
      <c r="F40" s="1194">
        <f t="shared" si="28"/>
        <v>0</v>
      </c>
      <c r="G40" s="1194">
        <f t="shared" si="28"/>
        <v>0</v>
      </c>
      <c r="H40" s="1194">
        <f t="shared" si="28"/>
        <v>0</v>
      </c>
      <c r="I40" s="1194">
        <f t="shared" si="28"/>
        <v>25</v>
      </c>
      <c r="J40" s="1194">
        <f t="shared" si="28"/>
        <v>0</v>
      </c>
      <c r="K40" s="1194">
        <f t="shared" si="28"/>
        <v>695</v>
      </c>
      <c r="L40" s="1191">
        <f t="shared" si="28"/>
        <v>62871899</v>
      </c>
      <c r="M40" s="1194">
        <f t="shared" si="28"/>
        <v>108</v>
      </c>
      <c r="N40" s="1194">
        <f t="shared" si="28"/>
        <v>0</v>
      </c>
      <c r="O40" s="1194">
        <f t="shared" si="28"/>
        <v>559</v>
      </c>
      <c r="P40" s="1194">
        <f t="shared" si="28"/>
        <v>5</v>
      </c>
      <c r="Q40" s="1194">
        <f t="shared" si="28"/>
        <v>0</v>
      </c>
      <c r="R40" s="1194">
        <f t="shared" si="28"/>
        <v>0</v>
      </c>
      <c r="S40" s="1194">
        <f t="shared" si="28"/>
        <v>0</v>
      </c>
      <c r="T40" s="1194">
        <f t="shared" si="28"/>
        <v>60</v>
      </c>
      <c r="U40" s="1194">
        <f t="shared" si="28"/>
        <v>0</v>
      </c>
      <c r="V40" s="1194">
        <f t="shared" si="28"/>
        <v>732</v>
      </c>
      <c r="W40" s="1191">
        <f t="shared" si="28"/>
        <v>51897754</v>
      </c>
      <c r="X40" s="1180"/>
      <c r="AA40" s="952"/>
      <c r="AB40" s="952"/>
    </row>
    <row r="41" spans="1:28">
      <c r="A41" s="1183" t="s">
        <v>289</v>
      </c>
      <c r="B41" s="1184"/>
      <c r="C41" s="1184"/>
      <c r="D41" s="1184"/>
      <c r="E41" s="1184"/>
      <c r="F41" s="1184"/>
      <c r="G41" s="1184"/>
      <c r="H41" s="1184"/>
      <c r="I41" s="1184"/>
      <c r="J41" s="1184"/>
      <c r="K41" s="1184"/>
      <c r="L41" s="1184"/>
      <c r="M41" s="1184"/>
      <c r="N41" s="1184"/>
      <c r="O41" s="1184"/>
      <c r="P41" s="1185"/>
      <c r="Q41" s="1164"/>
      <c r="R41" s="763"/>
      <c r="S41" s="763"/>
      <c r="T41" s="952"/>
      <c r="U41" s="952"/>
      <c r="V41" s="952"/>
      <c r="W41" s="952"/>
      <c r="X41" s="952"/>
      <c r="Y41" s="952"/>
      <c r="Z41" s="952"/>
      <c r="AA41" s="952"/>
      <c r="AB41" s="952"/>
    </row>
    <row r="42" spans="1:28">
      <c r="A42" s="1162" t="s">
        <v>283</v>
      </c>
      <c r="P42" s="952"/>
      <c r="Q42" s="1164"/>
      <c r="R42" s="763"/>
      <c r="S42" s="763"/>
      <c r="T42" s="763"/>
      <c r="U42" s="763"/>
      <c r="V42" s="952"/>
      <c r="W42" s="952"/>
      <c r="X42" s="952"/>
      <c r="Y42" s="952"/>
      <c r="Z42" s="952"/>
      <c r="AA42" s="952"/>
      <c r="AB42" s="952"/>
    </row>
    <row r="43" spans="1:28">
      <c r="A43" s="1162" t="s">
        <v>287</v>
      </c>
      <c r="P43" s="952"/>
      <c r="Q43" s="1164"/>
      <c r="R43" s="763"/>
      <c r="S43" s="763"/>
      <c r="T43" s="763"/>
      <c r="U43" s="763"/>
      <c r="V43" s="952"/>
      <c r="W43" s="952"/>
      <c r="X43" s="952"/>
      <c r="Y43" s="952"/>
      <c r="Z43" s="952"/>
      <c r="AA43" s="952"/>
      <c r="AB43" s="952"/>
    </row>
    <row r="44" spans="1:28">
      <c r="A44" s="1162" t="s">
        <v>294</v>
      </c>
    </row>
    <row r="46" spans="1:28">
      <c r="A46" s="1158" t="s">
        <v>778</v>
      </c>
    </row>
    <row r="47" spans="1:28" ht="21" customHeight="1" thickBot="1">
      <c r="A47" s="1161" t="s">
        <v>4867</v>
      </c>
    </row>
    <row r="48" spans="1:28">
      <c r="A48" s="1165" t="s">
        <v>10</v>
      </c>
      <c r="B48" s="1697" t="s">
        <v>396</v>
      </c>
      <c r="C48" s="1698"/>
      <c r="D48" s="1698"/>
      <c r="E48" s="1698"/>
      <c r="F48" s="1698"/>
      <c r="G48" s="1698"/>
      <c r="H48" s="1698"/>
      <c r="I48" s="1698"/>
      <c r="J48" s="1698"/>
      <c r="K48" s="1698"/>
      <c r="L48" s="1699"/>
      <c r="M48" s="1697" t="s">
        <v>397</v>
      </c>
      <c r="N48" s="1698"/>
      <c r="O48" s="1698"/>
      <c r="P48" s="1698"/>
      <c r="Q48" s="1698"/>
      <c r="R48" s="1698"/>
      <c r="S48" s="1698"/>
      <c r="T48" s="1698"/>
      <c r="U48" s="1698"/>
      <c r="V48" s="1698"/>
      <c r="W48" s="1699"/>
    </row>
    <row r="49" spans="1:23" ht="132">
      <c r="A49" s="1167" t="s">
        <v>9</v>
      </c>
      <c r="B49" s="1168" t="s">
        <v>323</v>
      </c>
      <c r="C49" s="1168" t="s">
        <v>126</v>
      </c>
      <c r="D49" s="1169" t="s">
        <v>282</v>
      </c>
      <c r="E49" s="1169" t="s">
        <v>280</v>
      </c>
      <c r="F49" s="1169" t="s">
        <v>284</v>
      </c>
      <c r="G49" s="1169" t="s">
        <v>285</v>
      </c>
      <c r="H49" s="1169" t="s">
        <v>286</v>
      </c>
      <c r="I49" s="1169" t="s">
        <v>293</v>
      </c>
      <c r="J49" s="1170" t="s">
        <v>288</v>
      </c>
      <c r="K49" s="1171" t="s">
        <v>290</v>
      </c>
      <c r="L49" s="1172" t="s">
        <v>292</v>
      </c>
      <c r="M49" s="1168" t="s">
        <v>323</v>
      </c>
      <c r="N49" s="1168" t="s">
        <v>126</v>
      </c>
      <c r="O49" s="1169" t="s">
        <v>282</v>
      </c>
      <c r="P49" s="1169" t="s">
        <v>280</v>
      </c>
      <c r="Q49" s="1169" t="s">
        <v>284</v>
      </c>
      <c r="R49" s="1169" t="s">
        <v>285</v>
      </c>
      <c r="S49" s="1169" t="s">
        <v>286</v>
      </c>
      <c r="T49" s="1169" t="s">
        <v>293</v>
      </c>
      <c r="U49" s="1170" t="s">
        <v>288</v>
      </c>
      <c r="V49" s="1171" t="s">
        <v>290</v>
      </c>
      <c r="W49" s="1172" t="s">
        <v>291</v>
      </c>
    </row>
    <row r="50" spans="1:23">
      <c r="A50" s="1175"/>
      <c r="B50" s="1176"/>
      <c r="C50" s="1176"/>
      <c r="D50" s="1176"/>
      <c r="E50" s="1176"/>
      <c r="F50" s="1176"/>
      <c r="G50" s="1176"/>
      <c r="H50" s="1176"/>
      <c r="I50" s="1176"/>
      <c r="J50" s="1176"/>
      <c r="K50" s="1176"/>
      <c r="L50" s="1177"/>
      <c r="M50" s="1176"/>
      <c r="N50" s="1176"/>
      <c r="O50" s="1176"/>
      <c r="P50" s="1176"/>
      <c r="Q50" s="1176"/>
      <c r="R50" s="1176"/>
      <c r="S50" s="1176"/>
      <c r="T50" s="1176"/>
      <c r="U50" s="1176"/>
      <c r="V50" s="1176"/>
      <c r="W50" s="1177"/>
    </row>
    <row r="51" spans="1:23" ht="18" customHeight="1">
      <c r="A51" s="1178" t="s">
        <v>7</v>
      </c>
      <c r="B51" s="1192">
        <f>SUM(B52:B56)</f>
        <v>0</v>
      </c>
      <c r="C51" s="1192">
        <f t="shared" ref="C51:W51" si="29">SUM(C52:C56)</f>
        <v>10</v>
      </c>
      <c r="D51" s="1192">
        <f t="shared" si="29"/>
        <v>1</v>
      </c>
      <c r="E51" s="1192">
        <f t="shared" si="29"/>
        <v>0</v>
      </c>
      <c r="F51" s="1192">
        <f t="shared" si="29"/>
        <v>0</v>
      </c>
      <c r="G51" s="1192">
        <f t="shared" si="29"/>
        <v>0</v>
      </c>
      <c r="H51" s="1192">
        <f t="shared" si="29"/>
        <v>0</v>
      </c>
      <c r="I51" s="1192">
        <f t="shared" si="29"/>
        <v>0</v>
      </c>
      <c r="J51" s="1192">
        <f t="shared" si="29"/>
        <v>0</v>
      </c>
      <c r="K51" s="1192">
        <f t="shared" si="29"/>
        <v>11</v>
      </c>
      <c r="L51" s="1190">
        <f t="shared" si="29"/>
        <v>1052781</v>
      </c>
      <c r="M51" s="1192">
        <f t="shared" si="29"/>
        <v>0</v>
      </c>
      <c r="N51" s="1192">
        <f t="shared" si="29"/>
        <v>10</v>
      </c>
      <c r="O51" s="1192">
        <f t="shared" si="29"/>
        <v>1</v>
      </c>
      <c r="P51" s="1192">
        <f t="shared" si="29"/>
        <v>0</v>
      </c>
      <c r="Q51" s="1192">
        <f t="shared" si="29"/>
        <v>0</v>
      </c>
      <c r="R51" s="1192">
        <f t="shared" si="29"/>
        <v>0</v>
      </c>
      <c r="S51" s="1192">
        <f t="shared" si="29"/>
        <v>0</v>
      </c>
      <c r="T51" s="1192">
        <f t="shared" si="29"/>
        <v>0</v>
      </c>
      <c r="U51" s="1192">
        <f t="shared" si="29"/>
        <v>0</v>
      </c>
      <c r="V51" s="1192">
        <f t="shared" si="29"/>
        <v>11</v>
      </c>
      <c r="W51" s="1190">
        <f t="shared" si="29"/>
        <v>1066696</v>
      </c>
    </row>
    <row r="52" spans="1:23" ht="18" customHeight="1">
      <c r="A52" s="1195" t="s">
        <v>1298</v>
      </c>
      <c r="B52" s="1196"/>
      <c r="C52" s="1196">
        <v>2</v>
      </c>
      <c r="D52" s="1196">
        <v>1</v>
      </c>
      <c r="E52" s="1196"/>
      <c r="F52" s="1196"/>
      <c r="G52" s="1196"/>
      <c r="H52" s="1196"/>
      <c r="I52" s="1196"/>
      <c r="J52" s="1196"/>
      <c r="K52" s="1196">
        <v>3</v>
      </c>
      <c r="L52" s="1197">
        <v>352448</v>
      </c>
      <c r="M52" s="1196"/>
      <c r="N52" s="1196">
        <v>2</v>
      </c>
      <c r="O52" s="1196">
        <v>1</v>
      </c>
      <c r="P52" s="1196"/>
      <c r="Q52" s="1196"/>
      <c r="R52" s="1196"/>
      <c r="S52" s="1196"/>
      <c r="T52" s="1196"/>
      <c r="U52" s="1196"/>
      <c r="V52" s="1196">
        <v>3</v>
      </c>
      <c r="W52" s="1197">
        <v>370974</v>
      </c>
    </row>
    <row r="53" spans="1:23" ht="18" customHeight="1">
      <c r="A53" s="1198" t="s">
        <v>1299</v>
      </c>
      <c r="B53" s="1199"/>
      <c r="C53" s="1199">
        <v>8</v>
      </c>
      <c r="D53" s="1199"/>
      <c r="E53" s="1199"/>
      <c r="F53" s="1199"/>
      <c r="G53" s="1199"/>
      <c r="H53" s="1199"/>
      <c r="I53" s="1199"/>
      <c r="J53" s="1199"/>
      <c r="K53" s="1199">
        <v>8</v>
      </c>
      <c r="L53" s="1200">
        <v>700333</v>
      </c>
      <c r="M53" s="1199"/>
      <c r="N53" s="1199">
        <v>8</v>
      </c>
      <c r="O53" s="1199">
        <v>0</v>
      </c>
      <c r="P53" s="1199"/>
      <c r="Q53" s="1199"/>
      <c r="R53" s="1199"/>
      <c r="S53" s="1199"/>
      <c r="T53" s="1199"/>
      <c r="U53" s="1199"/>
      <c r="V53" s="1199">
        <v>8</v>
      </c>
      <c r="W53" s="1200">
        <v>695722</v>
      </c>
    </row>
    <row r="54" spans="1:23" ht="18" customHeight="1">
      <c r="A54" s="1198" t="s">
        <v>1300</v>
      </c>
      <c r="B54" s="1199"/>
      <c r="C54" s="1199"/>
      <c r="D54" s="1199"/>
      <c r="E54" s="1199"/>
      <c r="F54" s="1199"/>
      <c r="G54" s="1199"/>
      <c r="H54" s="1199"/>
      <c r="I54" s="1199"/>
      <c r="J54" s="1199"/>
      <c r="K54" s="1199"/>
      <c r="L54" s="1200"/>
      <c r="M54" s="1199"/>
      <c r="N54" s="1199"/>
      <c r="O54" s="1199"/>
      <c r="P54" s="1199"/>
      <c r="Q54" s="1199"/>
      <c r="R54" s="1199"/>
      <c r="S54" s="1199"/>
      <c r="T54" s="1199"/>
      <c r="U54" s="1199"/>
      <c r="V54" s="1199"/>
      <c r="W54" s="1200"/>
    </row>
    <row r="55" spans="1:23" ht="18" customHeight="1">
      <c r="A55" s="1198" t="s">
        <v>1301</v>
      </c>
      <c r="B55" s="1199"/>
      <c r="C55" s="1199"/>
      <c r="D55" s="1199"/>
      <c r="E55" s="1199"/>
      <c r="F55" s="1199"/>
      <c r="G55" s="1199"/>
      <c r="H55" s="1199"/>
      <c r="I55" s="1199"/>
      <c r="J55" s="1199"/>
      <c r="K55" s="1199"/>
      <c r="L55" s="1200"/>
      <c r="M55" s="1199"/>
      <c r="N55" s="1199"/>
      <c r="O55" s="1199"/>
      <c r="P55" s="1199"/>
      <c r="Q55" s="1199"/>
      <c r="R55" s="1199"/>
      <c r="S55" s="1199"/>
      <c r="T55" s="1199"/>
      <c r="U55" s="1199"/>
      <c r="V55" s="1199"/>
      <c r="W55" s="1200"/>
    </row>
    <row r="56" spans="1:23" ht="18" customHeight="1">
      <c r="A56" s="1198" t="s">
        <v>12</v>
      </c>
      <c r="B56" s="1199"/>
      <c r="C56" s="1199"/>
      <c r="D56" s="1199"/>
      <c r="E56" s="1199"/>
      <c r="F56" s="1199"/>
      <c r="G56" s="1199"/>
      <c r="H56" s="1199"/>
      <c r="I56" s="1199"/>
      <c r="J56" s="1199"/>
      <c r="K56" s="1199"/>
      <c r="L56" s="1200"/>
      <c r="M56" s="1199"/>
      <c r="N56" s="1199"/>
      <c r="O56" s="1199"/>
      <c r="P56" s="1199"/>
      <c r="Q56" s="1199"/>
      <c r="R56" s="1199"/>
      <c r="S56" s="1199"/>
      <c r="T56" s="1199"/>
      <c r="U56" s="1199"/>
      <c r="V56" s="1199"/>
      <c r="W56" s="1200"/>
    </row>
    <row r="57" spans="1:23">
      <c r="A57" s="1175"/>
      <c r="B57" s="1193"/>
      <c r="C57" s="1193"/>
      <c r="D57" s="1193"/>
      <c r="E57" s="1193"/>
      <c r="F57" s="1193"/>
      <c r="G57" s="1193"/>
      <c r="H57" s="1193"/>
      <c r="I57" s="1193"/>
      <c r="J57" s="1193"/>
      <c r="K57" s="1193"/>
      <c r="L57" s="1189"/>
      <c r="M57" s="1193"/>
      <c r="N57" s="1193"/>
      <c r="O57" s="1193"/>
      <c r="P57" s="1193"/>
      <c r="Q57" s="1193"/>
      <c r="R57" s="1193"/>
      <c r="S57" s="1193"/>
      <c r="T57" s="1193"/>
      <c r="U57" s="1193"/>
      <c r="V57" s="1193"/>
      <c r="W57" s="1189"/>
    </row>
    <row r="58" spans="1:23" ht="18" customHeight="1">
      <c r="A58" s="1178" t="s">
        <v>4</v>
      </c>
      <c r="B58" s="1192">
        <f>SUM(B59:B62)</f>
        <v>0</v>
      </c>
      <c r="C58" s="1192">
        <f t="shared" ref="C58:W58" si="30">SUM(C59:C62)</f>
        <v>29</v>
      </c>
      <c r="D58" s="1192">
        <f t="shared" si="30"/>
        <v>29</v>
      </c>
      <c r="E58" s="1192">
        <f t="shared" si="30"/>
        <v>0</v>
      </c>
      <c r="F58" s="1192">
        <f t="shared" si="30"/>
        <v>0</v>
      </c>
      <c r="G58" s="1192">
        <f t="shared" si="30"/>
        <v>0</v>
      </c>
      <c r="H58" s="1192">
        <f t="shared" si="30"/>
        <v>0</v>
      </c>
      <c r="I58" s="1192">
        <f t="shared" si="30"/>
        <v>0</v>
      </c>
      <c r="J58" s="1192">
        <f t="shared" si="30"/>
        <v>0</v>
      </c>
      <c r="K58" s="1192">
        <f t="shared" si="30"/>
        <v>58</v>
      </c>
      <c r="L58" s="1190">
        <f t="shared" si="30"/>
        <v>2821278</v>
      </c>
      <c r="M58" s="1192">
        <f t="shared" si="30"/>
        <v>0</v>
      </c>
      <c r="N58" s="1192">
        <f t="shared" si="30"/>
        <v>29</v>
      </c>
      <c r="O58" s="1192">
        <f t="shared" si="30"/>
        <v>29</v>
      </c>
      <c r="P58" s="1192">
        <f t="shared" si="30"/>
        <v>0</v>
      </c>
      <c r="Q58" s="1192">
        <f t="shared" si="30"/>
        <v>0</v>
      </c>
      <c r="R58" s="1192">
        <f t="shared" si="30"/>
        <v>0</v>
      </c>
      <c r="S58" s="1192">
        <f t="shared" si="30"/>
        <v>0</v>
      </c>
      <c r="T58" s="1192">
        <f t="shared" si="30"/>
        <v>0</v>
      </c>
      <c r="U58" s="1192">
        <f t="shared" si="30"/>
        <v>0</v>
      </c>
      <c r="V58" s="1192">
        <f t="shared" si="30"/>
        <v>58</v>
      </c>
      <c r="W58" s="1190">
        <f t="shared" si="30"/>
        <v>2674617</v>
      </c>
    </row>
    <row r="59" spans="1:23" ht="18" customHeight="1">
      <c r="A59" s="1195" t="s">
        <v>13</v>
      </c>
      <c r="B59" s="1196"/>
      <c r="C59" s="1196">
        <v>12</v>
      </c>
      <c r="D59" s="1196">
        <v>27</v>
      </c>
      <c r="E59" s="1196"/>
      <c r="F59" s="1196"/>
      <c r="G59" s="1196"/>
      <c r="H59" s="1196"/>
      <c r="I59" s="1196"/>
      <c r="J59" s="1196"/>
      <c r="K59" s="1196">
        <v>39</v>
      </c>
      <c r="L59" s="1197">
        <v>1872321</v>
      </c>
      <c r="M59" s="1196"/>
      <c r="N59" s="1196">
        <v>12</v>
      </c>
      <c r="O59" s="1196">
        <v>27</v>
      </c>
      <c r="P59" s="1196"/>
      <c r="Q59" s="1196"/>
      <c r="R59" s="1196"/>
      <c r="S59" s="1196"/>
      <c r="T59" s="1196"/>
      <c r="U59" s="1196"/>
      <c r="V59" s="1196">
        <v>39</v>
      </c>
      <c r="W59" s="1197">
        <v>1719863</v>
      </c>
    </row>
    <row r="60" spans="1:23" ht="18" customHeight="1">
      <c r="A60" s="1198" t="s">
        <v>1319</v>
      </c>
      <c r="B60" s="1199"/>
      <c r="C60" s="1199">
        <v>13</v>
      </c>
      <c r="D60" s="1199"/>
      <c r="E60" s="1199"/>
      <c r="F60" s="1199"/>
      <c r="G60" s="1199"/>
      <c r="H60" s="1199"/>
      <c r="I60" s="1199"/>
      <c r="J60" s="1199"/>
      <c r="K60" s="1199">
        <v>13</v>
      </c>
      <c r="L60" s="1200">
        <v>676046</v>
      </c>
      <c r="M60" s="1199"/>
      <c r="N60" s="1199">
        <v>13</v>
      </c>
      <c r="O60" s="1199">
        <v>0</v>
      </c>
      <c r="P60" s="1199"/>
      <c r="Q60" s="1199"/>
      <c r="R60" s="1199"/>
      <c r="S60" s="1199"/>
      <c r="T60" s="1199"/>
      <c r="U60" s="1199"/>
      <c r="V60" s="1199">
        <v>13</v>
      </c>
      <c r="W60" s="1200">
        <v>672184</v>
      </c>
    </row>
    <row r="61" spans="1:23" ht="18" customHeight="1">
      <c r="A61" s="1198" t="s">
        <v>1320</v>
      </c>
      <c r="B61" s="1199"/>
      <c r="C61" s="1199">
        <v>2</v>
      </c>
      <c r="D61" s="1199"/>
      <c r="E61" s="1199"/>
      <c r="F61" s="1199"/>
      <c r="G61" s="1199"/>
      <c r="H61" s="1199"/>
      <c r="I61" s="1199"/>
      <c r="J61" s="1199"/>
      <c r="K61" s="1199">
        <v>2</v>
      </c>
      <c r="L61" s="1200">
        <v>87670</v>
      </c>
      <c r="M61" s="1199"/>
      <c r="N61" s="1199">
        <v>2</v>
      </c>
      <c r="O61" s="1199">
        <v>0</v>
      </c>
      <c r="P61" s="1199"/>
      <c r="Q61" s="1199"/>
      <c r="R61" s="1199"/>
      <c r="S61" s="1199"/>
      <c r="T61" s="1199"/>
      <c r="U61" s="1199"/>
      <c r="V61" s="1199">
        <v>2</v>
      </c>
      <c r="W61" s="1200">
        <v>102225</v>
      </c>
    </row>
    <row r="62" spans="1:23" ht="18" customHeight="1">
      <c r="A62" s="1198" t="s">
        <v>1321</v>
      </c>
      <c r="B62" s="1199"/>
      <c r="C62" s="1199">
        <v>2</v>
      </c>
      <c r="D62" s="1199">
        <v>2</v>
      </c>
      <c r="E62" s="1199"/>
      <c r="F62" s="1199"/>
      <c r="G62" s="1199"/>
      <c r="H62" s="1199"/>
      <c r="I62" s="1199"/>
      <c r="J62" s="1199"/>
      <c r="K62" s="1199">
        <v>4</v>
      </c>
      <c r="L62" s="1200">
        <v>185241</v>
      </c>
      <c r="M62" s="1199"/>
      <c r="N62" s="1199">
        <v>2</v>
      </c>
      <c r="O62" s="1199">
        <v>2</v>
      </c>
      <c r="P62" s="1199"/>
      <c r="Q62" s="1199"/>
      <c r="R62" s="1199"/>
      <c r="S62" s="1199"/>
      <c r="T62" s="1199"/>
      <c r="U62" s="1199"/>
      <c r="V62" s="1199">
        <v>4</v>
      </c>
      <c r="W62" s="1200">
        <v>180345</v>
      </c>
    </row>
    <row r="63" spans="1:23">
      <c r="A63" s="1175"/>
      <c r="B63" s="1193"/>
      <c r="C63" s="1193"/>
      <c r="D63" s="1193"/>
      <c r="E63" s="1193"/>
      <c r="F63" s="1193"/>
      <c r="G63" s="1193"/>
      <c r="H63" s="1193"/>
      <c r="I63" s="1193"/>
      <c r="J63" s="1193"/>
      <c r="K63" s="1193"/>
      <c r="L63" s="1189"/>
      <c r="M63" s="1193"/>
      <c r="N63" s="1193"/>
      <c r="O63" s="1193"/>
      <c r="P63" s="1193"/>
      <c r="Q63" s="1193"/>
      <c r="R63" s="1193"/>
      <c r="S63" s="1193"/>
      <c r="T63" s="1193"/>
      <c r="U63" s="1193"/>
      <c r="V63" s="1193"/>
      <c r="W63" s="1189"/>
    </row>
    <row r="64" spans="1:23" ht="18" customHeight="1">
      <c r="A64" s="1178" t="s">
        <v>5</v>
      </c>
      <c r="B64" s="1192">
        <f>SUM(B65)</f>
        <v>0</v>
      </c>
      <c r="C64" s="1192">
        <f t="shared" ref="C64:W64" si="31">SUM(C65)</f>
        <v>7</v>
      </c>
      <c r="D64" s="1192">
        <f t="shared" si="31"/>
        <v>6</v>
      </c>
      <c r="E64" s="1192">
        <f t="shared" si="31"/>
        <v>0</v>
      </c>
      <c r="F64" s="1192">
        <f t="shared" si="31"/>
        <v>0</v>
      </c>
      <c r="G64" s="1192">
        <f t="shared" si="31"/>
        <v>0</v>
      </c>
      <c r="H64" s="1192">
        <f t="shared" si="31"/>
        <v>0</v>
      </c>
      <c r="I64" s="1192">
        <f t="shared" si="31"/>
        <v>0</v>
      </c>
      <c r="J64" s="1192">
        <f t="shared" si="31"/>
        <v>0</v>
      </c>
      <c r="K64" s="1192">
        <f t="shared" si="31"/>
        <v>13</v>
      </c>
      <c r="L64" s="1190">
        <f t="shared" si="31"/>
        <v>379932</v>
      </c>
      <c r="M64" s="1192">
        <f t="shared" si="31"/>
        <v>0</v>
      </c>
      <c r="N64" s="1192">
        <f t="shared" si="31"/>
        <v>7</v>
      </c>
      <c r="O64" s="1192">
        <f t="shared" si="31"/>
        <v>6</v>
      </c>
      <c r="P64" s="1192">
        <f t="shared" si="31"/>
        <v>0</v>
      </c>
      <c r="Q64" s="1192">
        <f t="shared" si="31"/>
        <v>0</v>
      </c>
      <c r="R64" s="1192">
        <f t="shared" si="31"/>
        <v>0</v>
      </c>
      <c r="S64" s="1192">
        <f t="shared" si="31"/>
        <v>0</v>
      </c>
      <c r="T64" s="1192">
        <f t="shared" si="31"/>
        <v>0</v>
      </c>
      <c r="U64" s="1192">
        <f t="shared" si="31"/>
        <v>0</v>
      </c>
      <c r="V64" s="1192">
        <f t="shared" si="31"/>
        <v>13</v>
      </c>
      <c r="W64" s="1190">
        <f t="shared" si="31"/>
        <v>367849</v>
      </c>
    </row>
    <row r="65" spans="1:23" ht="18" customHeight="1">
      <c r="A65" s="1195" t="s">
        <v>14</v>
      </c>
      <c r="B65" s="1196"/>
      <c r="C65" s="1196">
        <v>7</v>
      </c>
      <c r="D65" s="1196">
        <v>6</v>
      </c>
      <c r="E65" s="1196"/>
      <c r="F65" s="1196"/>
      <c r="G65" s="1196"/>
      <c r="H65" s="1196"/>
      <c r="I65" s="1196"/>
      <c r="J65" s="1196"/>
      <c r="K65" s="1196">
        <v>13</v>
      </c>
      <c r="L65" s="1197">
        <v>379932</v>
      </c>
      <c r="M65" s="1196"/>
      <c r="N65" s="1196">
        <v>7</v>
      </c>
      <c r="O65" s="1196">
        <v>6</v>
      </c>
      <c r="P65" s="1196"/>
      <c r="Q65" s="1196"/>
      <c r="R65" s="1196"/>
      <c r="S65" s="1196"/>
      <c r="T65" s="1196"/>
      <c r="U65" s="1196"/>
      <c r="V65" s="1196">
        <v>13</v>
      </c>
      <c r="W65" s="1197">
        <v>367849</v>
      </c>
    </row>
    <row r="66" spans="1:23">
      <c r="A66" s="1175"/>
      <c r="B66" s="1193"/>
      <c r="C66" s="1193"/>
      <c r="D66" s="1193"/>
      <c r="E66" s="1193"/>
      <c r="F66" s="1193"/>
      <c r="G66" s="1193"/>
      <c r="H66" s="1193"/>
      <c r="I66" s="1193"/>
      <c r="J66" s="1193"/>
      <c r="K66" s="1193"/>
      <c r="L66" s="1189"/>
      <c r="M66" s="1193"/>
      <c r="N66" s="1193"/>
      <c r="O66" s="1193"/>
      <c r="P66" s="1193"/>
      <c r="Q66" s="1193"/>
      <c r="R66" s="1193"/>
      <c r="S66" s="1193"/>
      <c r="T66" s="1193"/>
      <c r="U66" s="1193"/>
      <c r="V66" s="1193"/>
      <c r="W66" s="1189"/>
    </row>
    <row r="67" spans="1:23" ht="18" customHeight="1">
      <c r="A67" s="1178" t="s">
        <v>6</v>
      </c>
      <c r="B67" s="1192">
        <f>SUM(B68)</f>
        <v>0</v>
      </c>
      <c r="C67" s="1192">
        <f t="shared" ref="C67:W67" si="32">SUM(C68)</f>
        <v>2</v>
      </c>
      <c r="D67" s="1192">
        <f t="shared" si="32"/>
        <v>4</v>
      </c>
      <c r="E67" s="1192">
        <f t="shared" si="32"/>
        <v>0</v>
      </c>
      <c r="F67" s="1192">
        <f t="shared" si="32"/>
        <v>0</v>
      </c>
      <c r="G67" s="1192">
        <f t="shared" si="32"/>
        <v>0</v>
      </c>
      <c r="H67" s="1192">
        <f t="shared" si="32"/>
        <v>0</v>
      </c>
      <c r="I67" s="1192">
        <f t="shared" si="32"/>
        <v>0</v>
      </c>
      <c r="J67" s="1192">
        <f t="shared" si="32"/>
        <v>0</v>
      </c>
      <c r="K67" s="1192">
        <f t="shared" si="32"/>
        <v>6</v>
      </c>
      <c r="L67" s="1190">
        <f t="shared" si="32"/>
        <v>125900</v>
      </c>
      <c r="M67" s="1192">
        <f t="shared" si="32"/>
        <v>0</v>
      </c>
      <c r="N67" s="1192">
        <f t="shared" si="32"/>
        <v>2</v>
      </c>
      <c r="O67" s="1192">
        <f t="shared" si="32"/>
        <v>4</v>
      </c>
      <c r="P67" s="1192">
        <f t="shared" si="32"/>
        <v>0</v>
      </c>
      <c r="Q67" s="1192">
        <f t="shared" si="32"/>
        <v>0</v>
      </c>
      <c r="R67" s="1192">
        <f t="shared" si="32"/>
        <v>0</v>
      </c>
      <c r="S67" s="1192">
        <f t="shared" si="32"/>
        <v>0</v>
      </c>
      <c r="T67" s="1192">
        <f t="shared" si="32"/>
        <v>0</v>
      </c>
      <c r="U67" s="1192">
        <f t="shared" si="32"/>
        <v>0</v>
      </c>
      <c r="V67" s="1192">
        <f t="shared" si="32"/>
        <v>6</v>
      </c>
      <c r="W67" s="1190">
        <f t="shared" si="32"/>
        <v>127816</v>
      </c>
    </row>
    <row r="68" spans="1:23" ht="18" customHeight="1">
      <c r="A68" s="1195" t="s">
        <v>15</v>
      </c>
      <c r="B68" s="1196"/>
      <c r="C68" s="1196">
        <v>2</v>
      </c>
      <c r="D68" s="1196">
        <v>4</v>
      </c>
      <c r="E68" s="1196"/>
      <c r="F68" s="1196"/>
      <c r="G68" s="1196"/>
      <c r="H68" s="1196"/>
      <c r="I68" s="1196"/>
      <c r="J68" s="1196"/>
      <c r="K68" s="1196">
        <v>6</v>
      </c>
      <c r="L68" s="1197">
        <v>125900</v>
      </c>
      <c r="M68" s="1196"/>
      <c r="N68" s="1196">
        <v>2</v>
      </c>
      <c r="O68" s="1196">
        <v>4</v>
      </c>
      <c r="P68" s="1196"/>
      <c r="Q68" s="1196"/>
      <c r="R68" s="1196"/>
      <c r="S68" s="1196"/>
      <c r="T68" s="1196"/>
      <c r="U68" s="1196"/>
      <c r="V68" s="1196">
        <v>6</v>
      </c>
      <c r="W68" s="1197">
        <v>127816</v>
      </c>
    </row>
    <row r="69" spans="1:23">
      <c r="A69" s="1175"/>
      <c r="B69" s="1193"/>
      <c r="C69" s="1193"/>
      <c r="D69" s="1193"/>
      <c r="E69" s="1193"/>
      <c r="F69" s="1193"/>
      <c r="G69" s="1193"/>
      <c r="H69" s="1193"/>
      <c r="I69" s="1193"/>
      <c r="J69" s="1193"/>
      <c r="K69" s="1193"/>
      <c r="L69" s="1189"/>
      <c r="M69" s="1193"/>
      <c r="N69" s="1193"/>
      <c r="O69" s="1193"/>
      <c r="P69" s="1193"/>
      <c r="Q69" s="1193"/>
      <c r="R69" s="1193"/>
      <c r="S69" s="1193"/>
      <c r="T69" s="1193"/>
      <c r="U69" s="1193"/>
      <c r="V69" s="1193"/>
      <c r="W69" s="1189"/>
    </row>
    <row r="70" spans="1:23">
      <c r="A70" s="1178" t="s">
        <v>774</v>
      </c>
      <c r="B70" s="1192">
        <f>SUM(B71)</f>
        <v>0</v>
      </c>
      <c r="C70" s="1192">
        <f>SUM(C71)</f>
        <v>0</v>
      </c>
      <c r="D70" s="1192">
        <f t="shared" ref="D70" si="33">SUM(D71)</f>
        <v>40</v>
      </c>
      <c r="E70" s="1192">
        <f t="shared" ref="E70" si="34">SUM(E71)</f>
        <v>0</v>
      </c>
      <c r="F70" s="1192">
        <f t="shared" ref="F70" si="35">SUM(F71)</f>
        <v>0</v>
      </c>
      <c r="G70" s="1192">
        <f t="shared" ref="G70" si="36">SUM(G71)</f>
        <v>0</v>
      </c>
      <c r="H70" s="1192">
        <f t="shared" ref="H70" si="37">SUM(H71)</f>
        <v>0</v>
      </c>
      <c r="I70" s="1192">
        <f t="shared" ref="I70" si="38">SUM(I71)</f>
        <v>0</v>
      </c>
      <c r="J70" s="1192">
        <f t="shared" ref="J70" si="39">SUM(J71)</f>
        <v>0</v>
      </c>
      <c r="K70" s="1192">
        <f t="shared" ref="K70:Q70" si="40">SUM(K71)</f>
        <v>40</v>
      </c>
      <c r="L70" s="1190">
        <f t="shared" si="40"/>
        <v>3352036</v>
      </c>
      <c r="M70" s="1192">
        <f t="shared" si="40"/>
        <v>0</v>
      </c>
      <c r="N70" s="1192">
        <f t="shared" si="40"/>
        <v>0</v>
      </c>
      <c r="O70" s="1192">
        <f t="shared" si="40"/>
        <v>40</v>
      </c>
      <c r="P70" s="1192">
        <f t="shared" si="40"/>
        <v>0</v>
      </c>
      <c r="Q70" s="1192">
        <f t="shared" si="40"/>
        <v>0</v>
      </c>
      <c r="R70" s="1192">
        <f t="shared" ref="R70" si="41">SUM(R71)</f>
        <v>0</v>
      </c>
      <c r="S70" s="1192">
        <f t="shared" ref="S70" si="42">SUM(S71)</f>
        <v>0</v>
      </c>
      <c r="T70" s="1192">
        <f t="shared" ref="T70" si="43">SUM(T71)</f>
        <v>0</v>
      </c>
      <c r="U70" s="1192">
        <f t="shared" ref="U70" si="44">SUM(U71)</f>
        <v>0</v>
      </c>
      <c r="V70" s="1192">
        <f t="shared" ref="V70" si="45">SUM(V71)</f>
        <v>40</v>
      </c>
      <c r="W70" s="1190">
        <f>SUM(W71)</f>
        <v>3532833</v>
      </c>
    </row>
    <row r="71" spans="1:23">
      <c r="A71" s="1205" t="s">
        <v>96</v>
      </c>
      <c r="B71" s="1206"/>
      <c r="C71" s="1206"/>
      <c r="D71" s="1206">
        <v>40</v>
      </c>
      <c r="E71" s="1206"/>
      <c r="F71" s="1206"/>
      <c r="G71" s="1206"/>
      <c r="H71" s="1206"/>
      <c r="I71" s="1206"/>
      <c r="J71" s="1206"/>
      <c r="K71" s="1196">
        <f t="shared" ref="K71" si="46">SUM(B71:J71)</f>
        <v>40</v>
      </c>
      <c r="L71" s="1247">
        <v>3352036</v>
      </c>
      <c r="M71" s="1206"/>
      <c r="N71" s="1206"/>
      <c r="O71" s="1206">
        <v>40</v>
      </c>
      <c r="P71" s="1206"/>
      <c r="Q71" s="1206"/>
      <c r="R71" s="1206"/>
      <c r="S71" s="1206"/>
      <c r="T71" s="1206"/>
      <c r="U71" s="1206"/>
      <c r="V71" s="1196">
        <f>SUM(M71:U71)</f>
        <v>40</v>
      </c>
      <c r="W71" s="1247">
        <v>3532833</v>
      </c>
    </row>
    <row r="72" spans="1:23" ht="13.5" thickBot="1">
      <c r="A72" s="1175"/>
      <c r="B72" s="1193"/>
      <c r="C72" s="1193"/>
      <c r="D72" s="1193"/>
      <c r="E72" s="1193"/>
      <c r="F72" s="1193"/>
      <c r="G72" s="1193"/>
      <c r="H72" s="1193"/>
      <c r="I72" s="1193"/>
      <c r="J72" s="1193"/>
      <c r="K72" s="1193"/>
      <c r="L72" s="1189"/>
      <c r="M72" s="1193"/>
      <c r="N72" s="1193"/>
      <c r="O72" s="1193"/>
      <c r="P72" s="1193"/>
      <c r="Q72" s="1193"/>
      <c r="R72" s="1193"/>
      <c r="S72" s="1193"/>
      <c r="T72" s="1193"/>
      <c r="U72" s="1193"/>
      <c r="V72" s="1193"/>
      <c r="W72" s="1189"/>
    </row>
    <row r="73" spans="1:23" ht="18" customHeight="1" thickBot="1">
      <c r="A73" s="1182" t="s">
        <v>20</v>
      </c>
      <c r="B73" s="1194">
        <f t="shared" ref="B73:W73" si="47">+B51+B58+B64+B67+B70</f>
        <v>0</v>
      </c>
      <c r="C73" s="1194">
        <f t="shared" si="47"/>
        <v>48</v>
      </c>
      <c r="D73" s="1194">
        <f t="shared" si="47"/>
        <v>80</v>
      </c>
      <c r="E73" s="1194">
        <f t="shared" si="47"/>
        <v>0</v>
      </c>
      <c r="F73" s="1194">
        <f t="shared" si="47"/>
        <v>0</v>
      </c>
      <c r="G73" s="1194">
        <f t="shared" si="47"/>
        <v>0</v>
      </c>
      <c r="H73" s="1194">
        <f t="shared" si="47"/>
        <v>0</v>
      </c>
      <c r="I73" s="1194">
        <f t="shared" si="47"/>
        <v>0</v>
      </c>
      <c r="J73" s="1194">
        <f t="shared" si="47"/>
        <v>0</v>
      </c>
      <c r="K73" s="1194">
        <f t="shared" si="47"/>
        <v>128</v>
      </c>
      <c r="L73" s="1191">
        <f t="shared" si="47"/>
        <v>7731927</v>
      </c>
      <c r="M73" s="1194">
        <f t="shared" si="47"/>
        <v>0</v>
      </c>
      <c r="N73" s="1194">
        <f t="shared" si="47"/>
        <v>48</v>
      </c>
      <c r="O73" s="1194">
        <f t="shared" si="47"/>
        <v>80</v>
      </c>
      <c r="P73" s="1194">
        <f t="shared" si="47"/>
        <v>0</v>
      </c>
      <c r="Q73" s="1194">
        <f t="shared" si="47"/>
        <v>0</v>
      </c>
      <c r="R73" s="1194">
        <f t="shared" si="47"/>
        <v>0</v>
      </c>
      <c r="S73" s="1194">
        <f t="shared" si="47"/>
        <v>0</v>
      </c>
      <c r="T73" s="1194">
        <f t="shared" si="47"/>
        <v>0</v>
      </c>
      <c r="U73" s="1194">
        <f t="shared" si="47"/>
        <v>0</v>
      </c>
      <c r="V73" s="1194">
        <f t="shared" si="47"/>
        <v>128</v>
      </c>
      <c r="W73" s="1191">
        <f t="shared" si="47"/>
        <v>7769811</v>
      </c>
    </row>
    <row r="74" spans="1:23">
      <c r="A74" s="1183" t="s">
        <v>289</v>
      </c>
      <c r="B74" s="1184"/>
      <c r="C74" s="1184"/>
      <c r="D74" s="1184"/>
      <c r="E74" s="1184"/>
      <c r="F74" s="1184"/>
      <c r="G74" s="1184"/>
      <c r="H74" s="1184"/>
      <c r="I74" s="1184"/>
      <c r="J74" s="1184"/>
      <c r="K74" s="1184"/>
      <c r="L74" s="1184"/>
      <c r="M74" s="1184"/>
      <c r="N74" s="1184"/>
      <c r="O74" s="1184"/>
      <c r="P74" s="1185"/>
      <c r="Q74" s="1164"/>
      <c r="R74" s="763"/>
      <c r="S74" s="763"/>
      <c r="T74" s="952"/>
      <c r="U74" s="952"/>
      <c r="V74" s="952"/>
      <c r="W74" s="952"/>
    </row>
    <row r="75" spans="1:23">
      <c r="A75" s="1162" t="s">
        <v>283</v>
      </c>
      <c r="P75" s="952"/>
      <c r="Q75" s="1164"/>
      <c r="R75" s="763"/>
      <c r="S75" s="763"/>
      <c r="T75" s="763"/>
      <c r="U75" s="763"/>
      <c r="V75" s="952"/>
      <c r="W75" s="952"/>
    </row>
    <row r="76" spans="1:23">
      <c r="A76" s="1162" t="s">
        <v>287</v>
      </c>
      <c r="P76" s="952"/>
      <c r="Q76" s="1164"/>
      <c r="R76" s="763"/>
      <c r="S76" s="763"/>
      <c r="T76" s="763"/>
      <c r="U76" s="763"/>
      <c r="V76" s="952"/>
      <c r="W76" s="952"/>
    </row>
    <row r="77" spans="1:23">
      <c r="A77" s="1162" t="s">
        <v>294</v>
      </c>
    </row>
    <row r="81" spans="1:28" s="1053" customFormat="1" ht="14.25" customHeight="1" thickBot="1">
      <c r="A81" s="1251" t="s">
        <v>549</v>
      </c>
      <c r="B81" s="1252"/>
      <c r="C81" s="1252"/>
      <c r="D81" s="1252"/>
      <c r="E81" s="1252"/>
      <c r="F81" s="1252"/>
      <c r="G81" s="1252"/>
      <c r="H81" s="1252"/>
      <c r="I81" s="1252"/>
      <c r="J81" s="1252"/>
      <c r="K81" s="1252"/>
      <c r="L81" s="1252"/>
      <c r="M81" s="1252"/>
      <c r="N81" s="1252"/>
      <c r="O81" s="1252"/>
      <c r="P81" s="1252"/>
      <c r="Q81" s="1252"/>
      <c r="R81" s="1252"/>
      <c r="S81" s="1252"/>
      <c r="T81" s="1252"/>
      <c r="U81" s="1252"/>
      <c r="V81" s="1252"/>
      <c r="W81" s="1252"/>
      <c r="X81" s="1253"/>
      <c r="Y81" s="1254"/>
      <c r="Z81" s="1254"/>
      <c r="AA81" s="1254"/>
      <c r="AB81" s="1254"/>
    </row>
    <row r="82" spans="1:28" ht="18" customHeight="1">
      <c r="A82" s="1165" t="s">
        <v>10</v>
      </c>
      <c r="B82" s="1697" t="s">
        <v>747</v>
      </c>
      <c r="C82" s="1698"/>
      <c r="D82" s="1698"/>
      <c r="E82" s="1698"/>
      <c r="F82" s="1698"/>
      <c r="G82" s="1698"/>
      <c r="H82" s="1698"/>
      <c r="I82" s="1698"/>
      <c r="J82" s="1698"/>
      <c r="K82" s="1698"/>
      <c r="L82" s="1699"/>
      <c r="M82" s="1697" t="s">
        <v>748</v>
      </c>
      <c r="N82" s="1698"/>
      <c r="O82" s="1698"/>
      <c r="P82" s="1698"/>
      <c r="Q82" s="1698"/>
      <c r="R82" s="1698"/>
      <c r="S82" s="1698"/>
      <c r="T82" s="1698"/>
      <c r="U82" s="1698"/>
      <c r="V82" s="1698"/>
      <c r="W82" s="1699"/>
    </row>
    <row r="83" spans="1:28" ht="94.5" customHeight="1">
      <c r="A83" s="1167" t="s">
        <v>9</v>
      </c>
      <c r="B83" s="1168" t="s">
        <v>323</v>
      </c>
      <c r="C83" s="1168" t="s">
        <v>126</v>
      </c>
      <c r="D83" s="1169" t="s">
        <v>282</v>
      </c>
      <c r="E83" s="1169" t="s">
        <v>280</v>
      </c>
      <c r="F83" s="1169" t="s">
        <v>284</v>
      </c>
      <c r="G83" s="1169" t="s">
        <v>285</v>
      </c>
      <c r="H83" s="1169" t="s">
        <v>286</v>
      </c>
      <c r="I83" s="1169" t="s">
        <v>293</v>
      </c>
      <c r="J83" s="1170" t="s">
        <v>288</v>
      </c>
      <c r="K83" s="1171" t="s">
        <v>290</v>
      </c>
      <c r="L83" s="1172" t="s">
        <v>292</v>
      </c>
      <c r="M83" s="1168" t="s">
        <v>323</v>
      </c>
      <c r="N83" s="1168" t="s">
        <v>126</v>
      </c>
      <c r="O83" s="1169" t="s">
        <v>282</v>
      </c>
      <c r="P83" s="1169" t="s">
        <v>280</v>
      </c>
      <c r="Q83" s="1169" t="s">
        <v>284</v>
      </c>
      <c r="R83" s="1169" t="s">
        <v>285</v>
      </c>
      <c r="S83" s="1169" t="s">
        <v>286</v>
      </c>
      <c r="T83" s="1169" t="s">
        <v>293</v>
      </c>
      <c r="U83" s="1170" t="s">
        <v>288</v>
      </c>
      <c r="V83" s="1171" t="s">
        <v>290</v>
      </c>
      <c r="W83" s="1172" t="s">
        <v>291</v>
      </c>
    </row>
    <row r="84" spans="1:28" ht="4.5" customHeight="1">
      <c r="A84" s="1175"/>
      <c r="B84" s="1176"/>
      <c r="C84" s="1176"/>
      <c r="D84" s="1176"/>
      <c r="E84" s="1176"/>
      <c r="F84" s="1176"/>
      <c r="G84" s="1176"/>
      <c r="H84" s="1176"/>
      <c r="I84" s="1176"/>
      <c r="J84" s="1176"/>
      <c r="K84" s="1176"/>
      <c r="L84" s="1177"/>
      <c r="M84" s="1176"/>
      <c r="N84" s="1176"/>
      <c r="O84" s="1176"/>
      <c r="P84" s="1176"/>
      <c r="Q84" s="1176"/>
      <c r="R84" s="1176"/>
      <c r="S84" s="1176"/>
      <c r="T84" s="1176"/>
      <c r="U84" s="1176"/>
      <c r="V84" s="1176"/>
      <c r="W84" s="1246"/>
    </row>
    <row r="85" spans="1:28">
      <c r="A85" s="1178" t="s">
        <v>7</v>
      </c>
      <c r="B85" s="1179"/>
      <c r="C85" s="1179">
        <f>SUM(C86:C90)</f>
        <v>18</v>
      </c>
      <c r="D85" s="1179"/>
      <c r="E85" s="1179"/>
      <c r="F85" s="1179"/>
      <c r="G85" s="1179"/>
      <c r="H85" s="1179"/>
      <c r="I85" s="1179"/>
      <c r="J85" s="1179"/>
      <c r="K85" s="1179">
        <f>C85</f>
        <v>18</v>
      </c>
      <c r="L85" s="1243">
        <f>SUM(L86:L90)</f>
        <v>3448014.3600000003</v>
      </c>
      <c r="M85" s="1179"/>
      <c r="N85" s="1179">
        <f>SUM(N86:N90)</f>
        <v>18</v>
      </c>
      <c r="O85" s="1179"/>
      <c r="P85" s="1179"/>
      <c r="Q85" s="1179"/>
      <c r="R85" s="1179"/>
      <c r="S85" s="1179"/>
      <c r="T85" s="1179"/>
      <c r="U85" s="1179"/>
      <c r="V85" s="1179">
        <f>N85</f>
        <v>18</v>
      </c>
      <c r="W85" s="1243">
        <f>SUM(W86:W90)</f>
        <v>3448014.3600000003</v>
      </c>
    </row>
    <row r="86" spans="1:28">
      <c r="A86" s="1195" t="s">
        <v>749</v>
      </c>
      <c r="B86" s="1201"/>
      <c r="C86" s="1201">
        <v>5</v>
      </c>
      <c r="D86" s="1201"/>
      <c r="E86" s="1202"/>
      <c r="F86" s="1201"/>
      <c r="G86" s="1201"/>
      <c r="H86" s="1201"/>
      <c r="I86" s="1201"/>
      <c r="J86" s="1201"/>
      <c r="K86" s="1201">
        <f t="shared" ref="K86:K116" si="48">C86</f>
        <v>5</v>
      </c>
      <c r="L86" s="1244">
        <v>790625.54</v>
      </c>
      <c r="M86" s="1201"/>
      <c r="N86" s="1201">
        <v>5</v>
      </c>
      <c r="O86" s="1201"/>
      <c r="P86" s="1202"/>
      <c r="Q86" s="1201"/>
      <c r="R86" s="1201"/>
      <c r="S86" s="1201"/>
      <c r="T86" s="1201"/>
      <c r="U86" s="1201"/>
      <c r="V86" s="1201">
        <f t="shared" ref="V86:V116" si="49">N86</f>
        <v>5</v>
      </c>
      <c r="W86" s="1244">
        <v>790625.54</v>
      </c>
    </row>
    <row r="87" spans="1:28">
      <c r="A87" s="1198" t="s">
        <v>750</v>
      </c>
      <c r="B87" s="1203"/>
      <c r="C87" s="1203">
        <v>1</v>
      </c>
      <c r="D87" s="1203"/>
      <c r="E87" s="1204"/>
      <c r="F87" s="1203"/>
      <c r="G87" s="1203"/>
      <c r="H87" s="1203"/>
      <c r="I87" s="1203"/>
      <c r="J87" s="1203"/>
      <c r="K87" s="1203">
        <f t="shared" si="48"/>
        <v>1</v>
      </c>
      <c r="L87" s="1245">
        <v>174566.58</v>
      </c>
      <c r="M87" s="1203"/>
      <c r="N87" s="1203">
        <v>1</v>
      </c>
      <c r="O87" s="1203"/>
      <c r="P87" s="1204"/>
      <c r="Q87" s="1203"/>
      <c r="R87" s="1203"/>
      <c r="S87" s="1203"/>
      <c r="T87" s="1203"/>
      <c r="U87" s="1203"/>
      <c r="V87" s="1203">
        <f t="shared" si="49"/>
        <v>1</v>
      </c>
      <c r="W87" s="1245">
        <v>174566.58</v>
      </c>
    </row>
    <row r="88" spans="1:28">
      <c r="A88" s="1198" t="s">
        <v>751</v>
      </c>
      <c r="B88" s="1203"/>
      <c r="C88" s="1203">
        <v>10</v>
      </c>
      <c r="D88" s="1203"/>
      <c r="E88" s="1204"/>
      <c r="F88" s="1203"/>
      <c r="G88" s="1203"/>
      <c r="H88" s="1203"/>
      <c r="I88" s="1203"/>
      <c r="J88" s="1203"/>
      <c r="K88" s="1203">
        <f t="shared" si="48"/>
        <v>10</v>
      </c>
      <c r="L88" s="1245">
        <v>1992290.75</v>
      </c>
      <c r="M88" s="1203"/>
      <c r="N88" s="1203">
        <v>10</v>
      </c>
      <c r="O88" s="1203"/>
      <c r="P88" s="1204"/>
      <c r="Q88" s="1203"/>
      <c r="R88" s="1203"/>
      <c r="S88" s="1203"/>
      <c r="T88" s="1203"/>
      <c r="U88" s="1203"/>
      <c r="V88" s="1203">
        <f t="shared" si="49"/>
        <v>10</v>
      </c>
      <c r="W88" s="1245">
        <v>1992290.75</v>
      </c>
    </row>
    <row r="89" spans="1:28">
      <c r="A89" s="1198" t="s">
        <v>752</v>
      </c>
      <c r="B89" s="1203"/>
      <c r="C89" s="1203">
        <v>1</v>
      </c>
      <c r="D89" s="1203"/>
      <c r="E89" s="1204"/>
      <c r="F89" s="1203"/>
      <c r="G89" s="1203"/>
      <c r="H89" s="1203"/>
      <c r="I89" s="1203"/>
      <c r="J89" s="1203"/>
      <c r="K89" s="1203">
        <f t="shared" si="48"/>
        <v>1</v>
      </c>
      <c r="L89" s="1245">
        <v>232112.41</v>
      </c>
      <c r="M89" s="1203"/>
      <c r="N89" s="1203">
        <v>1</v>
      </c>
      <c r="O89" s="1203"/>
      <c r="P89" s="1204"/>
      <c r="Q89" s="1203"/>
      <c r="R89" s="1203"/>
      <c r="S89" s="1203"/>
      <c r="T89" s="1203"/>
      <c r="U89" s="1203"/>
      <c r="V89" s="1203">
        <f t="shared" si="49"/>
        <v>1</v>
      </c>
      <c r="W89" s="1245">
        <v>232112.41</v>
      </c>
    </row>
    <row r="90" spans="1:28">
      <c r="A90" s="1198" t="s">
        <v>753</v>
      </c>
      <c r="B90" s="1203"/>
      <c r="C90" s="1203">
        <v>1</v>
      </c>
      <c r="D90" s="1203"/>
      <c r="E90" s="1204"/>
      <c r="F90" s="1203"/>
      <c r="G90" s="1203"/>
      <c r="H90" s="1203"/>
      <c r="I90" s="1203"/>
      <c r="J90" s="1203"/>
      <c r="K90" s="1203">
        <f t="shared" si="48"/>
        <v>1</v>
      </c>
      <c r="L90" s="1245">
        <v>258419.08</v>
      </c>
      <c r="M90" s="1203"/>
      <c r="N90" s="1203">
        <v>1</v>
      </c>
      <c r="O90" s="1203"/>
      <c r="P90" s="1204"/>
      <c r="Q90" s="1203"/>
      <c r="R90" s="1203"/>
      <c r="S90" s="1203"/>
      <c r="T90" s="1203"/>
      <c r="U90" s="1203"/>
      <c r="V90" s="1203">
        <f t="shared" si="49"/>
        <v>1</v>
      </c>
      <c r="W90" s="1245">
        <v>258419.08</v>
      </c>
    </row>
    <row r="91" spans="1:28" ht="3" customHeight="1">
      <c r="A91" s="1175"/>
      <c r="B91" s="1176"/>
      <c r="C91" s="1176"/>
      <c r="D91" s="1176"/>
      <c r="E91" s="1186"/>
      <c r="F91" s="1176"/>
      <c r="G91" s="1176"/>
      <c r="H91" s="1176"/>
      <c r="I91" s="1176"/>
      <c r="J91" s="1176"/>
      <c r="K91" s="1176"/>
      <c r="L91" s="1246"/>
      <c r="M91" s="1176"/>
      <c r="N91" s="1176"/>
      <c r="O91" s="1176"/>
      <c r="P91" s="1186"/>
      <c r="Q91" s="1176"/>
      <c r="R91" s="1176"/>
      <c r="S91" s="1176"/>
      <c r="T91" s="1176"/>
      <c r="U91" s="1176"/>
      <c r="V91" s="1176"/>
      <c r="W91" s="1246"/>
    </row>
    <row r="92" spans="1:28">
      <c r="A92" s="1178" t="s">
        <v>4</v>
      </c>
      <c r="B92" s="1179"/>
      <c r="C92" s="1179">
        <f>SUM(C93:C101)</f>
        <v>139</v>
      </c>
      <c r="D92" s="1179"/>
      <c r="E92" s="1179"/>
      <c r="F92" s="1179"/>
      <c r="G92" s="1179"/>
      <c r="H92" s="1179"/>
      <c r="I92" s="1179"/>
      <c r="J92" s="1179"/>
      <c r="K92" s="1179">
        <f t="shared" si="48"/>
        <v>139</v>
      </c>
      <c r="L92" s="1243">
        <f>SUM(L93:L101)</f>
        <v>14821149.870000001</v>
      </c>
      <c r="M92" s="1179"/>
      <c r="N92" s="1179">
        <f>SUM(N93:N101)</f>
        <v>137</v>
      </c>
      <c r="O92" s="1179"/>
      <c r="P92" s="1179"/>
      <c r="Q92" s="1179"/>
      <c r="R92" s="1179"/>
      <c r="S92" s="1179"/>
      <c r="T92" s="1179"/>
      <c r="U92" s="1179"/>
      <c r="V92" s="1179">
        <f t="shared" si="49"/>
        <v>137</v>
      </c>
      <c r="W92" s="1243">
        <f>SUM(W93:W101)</f>
        <v>14542123.529999999</v>
      </c>
    </row>
    <row r="93" spans="1:28">
      <c r="A93" s="1195" t="s">
        <v>754</v>
      </c>
      <c r="B93" s="1201"/>
      <c r="C93" s="1201">
        <v>10</v>
      </c>
      <c r="D93" s="1201"/>
      <c r="E93" s="1202"/>
      <c r="F93" s="1201"/>
      <c r="G93" s="1201"/>
      <c r="H93" s="1201"/>
      <c r="I93" s="1201"/>
      <c r="J93" s="1201"/>
      <c r="K93" s="1201">
        <f t="shared" si="48"/>
        <v>10</v>
      </c>
      <c r="L93" s="1244">
        <v>808490.75</v>
      </c>
      <c r="M93" s="1201"/>
      <c r="N93" s="1201">
        <v>9</v>
      </c>
      <c r="O93" s="1201"/>
      <c r="P93" s="1202"/>
      <c r="Q93" s="1201"/>
      <c r="R93" s="1201"/>
      <c r="S93" s="1201"/>
      <c r="T93" s="1201"/>
      <c r="U93" s="1201"/>
      <c r="V93" s="1201">
        <f t="shared" si="49"/>
        <v>9</v>
      </c>
      <c r="W93" s="1244">
        <f>808490.75-80849.08</f>
        <v>727641.67</v>
      </c>
    </row>
    <row r="94" spans="1:28">
      <c r="A94" s="1198" t="s">
        <v>755</v>
      </c>
      <c r="B94" s="1203"/>
      <c r="C94" s="1203">
        <v>1</v>
      </c>
      <c r="D94" s="1203"/>
      <c r="E94" s="1204"/>
      <c r="F94" s="1203"/>
      <c r="G94" s="1203"/>
      <c r="H94" s="1203"/>
      <c r="I94" s="1203"/>
      <c r="J94" s="1203"/>
      <c r="K94" s="1203">
        <f t="shared" si="48"/>
        <v>1</v>
      </c>
      <c r="L94" s="1245">
        <v>135106.57999999999</v>
      </c>
      <c r="M94" s="1203"/>
      <c r="N94" s="1203">
        <v>1</v>
      </c>
      <c r="O94" s="1203"/>
      <c r="P94" s="1204"/>
      <c r="Q94" s="1203"/>
      <c r="R94" s="1203"/>
      <c r="S94" s="1203"/>
      <c r="T94" s="1203"/>
      <c r="U94" s="1203"/>
      <c r="V94" s="1203">
        <f t="shared" si="49"/>
        <v>1</v>
      </c>
      <c r="W94" s="1245">
        <v>135106.57999999999</v>
      </c>
    </row>
    <row r="95" spans="1:28">
      <c r="A95" s="1198" t="s">
        <v>756</v>
      </c>
      <c r="B95" s="1203"/>
      <c r="C95" s="1203">
        <v>14</v>
      </c>
      <c r="D95" s="1203"/>
      <c r="E95" s="1204"/>
      <c r="F95" s="1203"/>
      <c r="G95" s="1203"/>
      <c r="H95" s="1203"/>
      <c r="I95" s="1203"/>
      <c r="J95" s="1203"/>
      <c r="K95" s="1203">
        <f t="shared" si="48"/>
        <v>14</v>
      </c>
      <c r="L95" s="1245">
        <f>1235469.55+103533.67</f>
        <v>1339003.22</v>
      </c>
      <c r="M95" s="1203"/>
      <c r="N95" s="1203">
        <v>14</v>
      </c>
      <c r="O95" s="1203"/>
      <c r="P95" s="1204"/>
      <c r="Q95" s="1203"/>
      <c r="R95" s="1203"/>
      <c r="S95" s="1203"/>
      <c r="T95" s="1203"/>
      <c r="U95" s="1203"/>
      <c r="V95" s="1203">
        <f t="shared" si="49"/>
        <v>14</v>
      </c>
      <c r="W95" s="1245">
        <f>1235469.55+88534.38-0.9</f>
        <v>1324003.0300000003</v>
      </c>
    </row>
    <row r="96" spans="1:28">
      <c r="A96" s="1198" t="s">
        <v>757</v>
      </c>
      <c r="B96" s="1203"/>
      <c r="C96" s="1203">
        <v>16</v>
      </c>
      <c r="D96" s="1203"/>
      <c r="E96" s="1204"/>
      <c r="F96" s="1203"/>
      <c r="G96" s="1203"/>
      <c r="H96" s="1203"/>
      <c r="I96" s="1203"/>
      <c r="J96" s="1203"/>
      <c r="K96" s="1203">
        <f t="shared" si="48"/>
        <v>16</v>
      </c>
      <c r="L96" s="1245">
        <f>1490890.2+103533.67</f>
        <v>1594423.8699999999</v>
      </c>
      <c r="M96" s="1203"/>
      <c r="N96" s="1203">
        <v>15</v>
      </c>
      <c r="O96" s="1203"/>
      <c r="P96" s="1204"/>
      <c r="Q96" s="1203"/>
      <c r="R96" s="1203"/>
      <c r="S96" s="1203"/>
      <c r="T96" s="1203"/>
      <c r="U96" s="1203"/>
      <c r="V96" s="1203">
        <f t="shared" si="49"/>
        <v>15</v>
      </c>
      <c r="W96" s="1245">
        <f>1490890.2-93182.33+88534.38</f>
        <v>1486242.25</v>
      </c>
    </row>
    <row r="97" spans="1:23">
      <c r="A97" s="1198" t="s">
        <v>758</v>
      </c>
      <c r="B97" s="1203"/>
      <c r="C97" s="1203">
        <v>25</v>
      </c>
      <c r="D97" s="1203"/>
      <c r="E97" s="1204"/>
      <c r="F97" s="1203"/>
      <c r="G97" s="1203"/>
      <c r="H97" s="1203"/>
      <c r="I97" s="1203"/>
      <c r="J97" s="1203"/>
      <c r="K97" s="1203">
        <f t="shared" si="48"/>
        <v>25</v>
      </c>
      <c r="L97" s="1245">
        <f>2473375.71+103533.67</f>
        <v>2576909.38</v>
      </c>
      <c r="M97" s="1203"/>
      <c r="N97" s="1203">
        <v>25</v>
      </c>
      <c r="O97" s="1203"/>
      <c r="P97" s="1204"/>
      <c r="Q97" s="1203"/>
      <c r="R97" s="1203"/>
      <c r="S97" s="1203"/>
      <c r="T97" s="1203"/>
      <c r="U97" s="1203"/>
      <c r="V97" s="1203">
        <f t="shared" si="49"/>
        <v>25</v>
      </c>
      <c r="W97" s="1245">
        <f>2473375.71+88534.38</f>
        <v>2561910.09</v>
      </c>
    </row>
    <row r="98" spans="1:23">
      <c r="A98" s="1198" t="s">
        <v>759</v>
      </c>
      <c r="B98" s="1203"/>
      <c r="C98" s="1203">
        <v>28</v>
      </c>
      <c r="D98" s="1203"/>
      <c r="E98" s="1204"/>
      <c r="F98" s="1203"/>
      <c r="G98" s="1203"/>
      <c r="H98" s="1203"/>
      <c r="I98" s="1203"/>
      <c r="J98" s="1203"/>
      <c r="K98" s="1203">
        <f t="shared" si="48"/>
        <v>28</v>
      </c>
      <c r="L98" s="1245">
        <f>2908288.43+103533.67</f>
        <v>3011822.1</v>
      </c>
      <c r="M98" s="1203"/>
      <c r="N98" s="1203">
        <v>28</v>
      </c>
      <c r="O98" s="1203"/>
      <c r="P98" s="1204"/>
      <c r="Q98" s="1203"/>
      <c r="R98" s="1203"/>
      <c r="S98" s="1203"/>
      <c r="T98" s="1203"/>
      <c r="U98" s="1203"/>
      <c r="V98" s="1203">
        <f t="shared" si="49"/>
        <v>28</v>
      </c>
      <c r="W98" s="1245">
        <f>2908288.43+88534.38</f>
        <v>2996822.81</v>
      </c>
    </row>
    <row r="99" spans="1:23">
      <c r="A99" s="1198" t="s">
        <v>760</v>
      </c>
      <c r="B99" s="1203"/>
      <c r="C99" s="1203">
        <v>26</v>
      </c>
      <c r="D99" s="1203"/>
      <c r="E99" s="1204"/>
      <c r="F99" s="1203"/>
      <c r="G99" s="1203"/>
      <c r="H99" s="1203"/>
      <c r="I99" s="1203"/>
      <c r="J99" s="1203"/>
      <c r="K99" s="1203">
        <f t="shared" si="48"/>
        <v>26</v>
      </c>
      <c r="L99" s="1245">
        <f>2828797.62+103533.67</f>
        <v>2932331.29</v>
      </c>
      <c r="M99" s="1203"/>
      <c r="N99" s="1203">
        <v>26</v>
      </c>
      <c r="O99" s="1203"/>
      <c r="P99" s="1204"/>
      <c r="Q99" s="1203"/>
      <c r="R99" s="1203"/>
      <c r="S99" s="1203"/>
      <c r="T99" s="1203"/>
      <c r="U99" s="1203"/>
      <c r="V99" s="1203">
        <f t="shared" si="49"/>
        <v>26</v>
      </c>
      <c r="W99" s="1245">
        <f>2828797.62+88534.38+1</f>
        <v>2917333</v>
      </c>
    </row>
    <row r="100" spans="1:23">
      <c r="A100" s="1198" t="s">
        <v>761</v>
      </c>
      <c r="B100" s="1203"/>
      <c r="C100" s="1203">
        <v>11</v>
      </c>
      <c r="D100" s="1203"/>
      <c r="E100" s="1204"/>
      <c r="F100" s="1203"/>
      <c r="G100" s="1203"/>
      <c r="H100" s="1203"/>
      <c r="I100" s="1203"/>
      <c r="J100" s="1203"/>
      <c r="K100" s="1203">
        <f t="shared" si="48"/>
        <v>11</v>
      </c>
      <c r="L100" s="1245">
        <f>1260099.41+103533.67</f>
        <v>1363633.0799999998</v>
      </c>
      <c r="M100" s="1203"/>
      <c r="N100" s="1203">
        <v>11</v>
      </c>
      <c r="O100" s="1203"/>
      <c r="P100" s="1204"/>
      <c r="Q100" s="1203"/>
      <c r="R100" s="1203"/>
      <c r="S100" s="1203"/>
      <c r="T100" s="1203"/>
      <c r="U100" s="1203"/>
      <c r="V100" s="1203">
        <f t="shared" si="49"/>
        <v>11</v>
      </c>
      <c r="W100" s="1245">
        <f>1260099.41+88534.38</f>
        <v>1348633.79</v>
      </c>
    </row>
    <row r="101" spans="1:23">
      <c r="A101" s="1198" t="s">
        <v>762</v>
      </c>
      <c r="B101" s="1203"/>
      <c r="C101" s="1203">
        <v>8</v>
      </c>
      <c r="D101" s="1203"/>
      <c r="E101" s="1204"/>
      <c r="F101" s="1203"/>
      <c r="G101" s="1203"/>
      <c r="H101" s="1203"/>
      <c r="I101" s="1203"/>
      <c r="J101" s="1203"/>
      <c r="K101" s="1203">
        <f t="shared" si="48"/>
        <v>8</v>
      </c>
      <c r="L101" s="1245">
        <f>955895.93+103533.67</f>
        <v>1059429.6000000001</v>
      </c>
      <c r="M101" s="1203"/>
      <c r="N101" s="1203">
        <v>8</v>
      </c>
      <c r="O101" s="1203"/>
      <c r="P101" s="1204"/>
      <c r="Q101" s="1203"/>
      <c r="R101" s="1203"/>
      <c r="S101" s="1203"/>
      <c r="T101" s="1203"/>
      <c r="U101" s="1203"/>
      <c r="V101" s="1203">
        <f t="shared" si="49"/>
        <v>8</v>
      </c>
      <c r="W101" s="1245">
        <f>955895.93+88534.38</f>
        <v>1044430.31</v>
      </c>
    </row>
    <row r="102" spans="1:23" ht="7.5" customHeight="1">
      <c r="A102" s="1175"/>
      <c r="B102" s="1176"/>
      <c r="C102" s="1176"/>
      <c r="D102" s="1176"/>
      <c r="E102" s="1186"/>
      <c r="F102" s="1176"/>
      <c r="G102" s="1176"/>
      <c r="H102" s="1176"/>
      <c r="I102" s="1176"/>
      <c r="J102" s="1176"/>
      <c r="K102" s="1176"/>
      <c r="L102" s="1246"/>
      <c r="M102" s="1176"/>
      <c r="N102" s="1176"/>
      <c r="O102" s="1176"/>
      <c r="P102" s="1186"/>
      <c r="Q102" s="1176"/>
      <c r="R102" s="1176"/>
      <c r="S102" s="1176"/>
      <c r="T102" s="1176"/>
      <c r="U102" s="1176"/>
      <c r="V102" s="1176"/>
      <c r="W102" s="1246"/>
    </row>
    <row r="103" spans="1:23">
      <c r="A103" s="1178" t="s">
        <v>5</v>
      </c>
      <c r="B103" s="1179"/>
      <c r="C103" s="1179">
        <f>SUM(C104:C111)</f>
        <v>51</v>
      </c>
      <c r="D103" s="1179"/>
      <c r="E103" s="1179"/>
      <c r="F103" s="1179"/>
      <c r="G103" s="1179"/>
      <c r="H103" s="1179"/>
      <c r="I103" s="1179"/>
      <c r="J103" s="1179"/>
      <c r="K103" s="1179">
        <f t="shared" si="48"/>
        <v>51</v>
      </c>
      <c r="L103" s="1243">
        <f>SUM(L104:L111)</f>
        <v>3073342.98</v>
      </c>
      <c r="M103" s="1179"/>
      <c r="N103" s="1179">
        <f>SUM(N104:N111)</f>
        <v>52</v>
      </c>
      <c r="O103" s="1179"/>
      <c r="P103" s="1179"/>
      <c r="Q103" s="1179"/>
      <c r="R103" s="1179"/>
      <c r="S103" s="1179"/>
      <c r="T103" s="1179"/>
      <c r="U103" s="1179"/>
      <c r="V103" s="1179">
        <f t="shared" si="49"/>
        <v>52</v>
      </c>
      <c r="W103" s="1243">
        <f>SUM(W104:W111)</f>
        <v>3136928.2399999998</v>
      </c>
    </row>
    <row r="104" spans="1:23">
      <c r="A104" s="1195" t="s">
        <v>763</v>
      </c>
      <c r="B104" s="1201"/>
      <c r="C104" s="1201">
        <v>2</v>
      </c>
      <c r="D104" s="1201"/>
      <c r="E104" s="1202"/>
      <c r="F104" s="1201"/>
      <c r="G104" s="1201"/>
      <c r="H104" s="1201"/>
      <c r="I104" s="1201"/>
      <c r="J104" s="1201"/>
      <c r="K104" s="1201">
        <f t="shared" si="48"/>
        <v>2</v>
      </c>
      <c r="L104" s="1244">
        <v>99219.8</v>
      </c>
      <c r="M104" s="1201"/>
      <c r="N104" s="1201">
        <v>2</v>
      </c>
      <c r="O104" s="1201"/>
      <c r="P104" s="1202"/>
      <c r="Q104" s="1201"/>
      <c r="R104" s="1201"/>
      <c r="S104" s="1201"/>
      <c r="T104" s="1201"/>
      <c r="U104" s="1201"/>
      <c r="V104" s="1201">
        <f t="shared" si="49"/>
        <v>2</v>
      </c>
      <c r="W104" s="1244">
        <v>99219.82</v>
      </c>
    </row>
    <row r="105" spans="1:23">
      <c r="A105" s="1198" t="s">
        <v>764</v>
      </c>
      <c r="B105" s="1203"/>
      <c r="C105" s="1203">
        <v>1</v>
      </c>
      <c r="D105" s="1203"/>
      <c r="E105" s="1204"/>
      <c r="F105" s="1203"/>
      <c r="G105" s="1203"/>
      <c r="H105" s="1203"/>
      <c r="I105" s="1203"/>
      <c r="J105" s="1203"/>
      <c r="K105" s="1203">
        <f t="shared" si="48"/>
        <v>1</v>
      </c>
      <c r="L105" s="1245">
        <v>74601.240000000005</v>
      </c>
      <c r="M105" s="1203"/>
      <c r="N105" s="1203">
        <v>1</v>
      </c>
      <c r="O105" s="1203"/>
      <c r="P105" s="1204"/>
      <c r="Q105" s="1203"/>
      <c r="R105" s="1203"/>
      <c r="S105" s="1203"/>
      <c r="T105" s="1203"/>
      <c r="U105" s="1203"/>
      <c r="V105" s="1203">
        <f t="shared" si="49"/>
        <v>1</v>
      </c>
      <c r="W105" s="1245">
        <v>74601.240000000005</v>
      </c>
    </row>
    <row r="106" spans="1:23">
      <c r="A106" s="1198" t="s">
        <v>765</v>
      </c>
      <c r="B106" s="1203"/>
      <c r="C106" s="1203">
        <v>1</v>
      </c>
      <c r="D106" s="1203"/>
      <c r="E106" s="1204"/>
      <c r="F106" s="1203"/>
      <c r="G106" s="1203"/>
      <c r="H106" s="1203"/>
      <c r="I106" s="1203"/>
      <c r="J106" s="1203"/>
      <c r="K106" s="1203">
        <f t="shared" si="48"/>
        <v>1</v>
      </c>
      <c r="L106" s="1245">
        <v>37278.660000000003</v>
      </c>
      <c r="M106" s="1203"/>
      <c r="N106" s="1203">
        <v>1</v>
      </c>
      <c r="O106" s="1203"/>
      <c r="P106" s="1204"/>
      <c r="Q106" s="1203"/>
      <c r="R106" s="1203"/>
      <c r="S106" s="1203"/>
      <c r="T106" s="1203"/>
      <c r="U106" s="1203"/>
      <c r="V106" s="1203">
        <f t="shared" si="49"/>
        <v>1</v>
      </c>
      <c r="W106" s="1245">
        <v>37278.660000000003</v>
      </c>
    </row>
    <row r="107" spans="1:23">
      <c r="A107" s="1198" t="s">
        <v>766</v>
      </c>
      <c r="B107" s="1203"/>
      <c r="C107" s="1203">
        <v>7</v>
      </c>
      <c r="D107" s="1203"/>
      <c r="E107" s="1204"/>
      <c r="F107" s="1203"/>
      <c r="G107" s="1203"/>
      <c r="H107" s="1203"/>
      <c r="I107" s="1203"/>
      <c r="J107" s="1203"/>
      <c r="K107" s="1203">
        <f t="shared" si="48"/>
        <v>7</v>
      </c>
      <c r="L107" s="1245">
        <v>387555.44</v>
      </c>
      <c r="M107" s="1203"/>
      <c r="N107" s="1203">
        <v>7</v>
      </c>
      <c r="O107" s="1203"/>
      <c r="P107" s="1204"/>
      <c r="Q107" s="1203"/>
      <c r="R107" s="1203"/>
      <c r="S107" s="1203"/>
      <c r="T107" s="1203"/>
      <c r="U107" s="1203"/>
      <c r="V107" s="1203">
        <f t="shared" si="49"/>
        <v>7</v>
      </c>
      <c r="W107" s="1245">
        <v>387555.44</v>
      </c>
    </row>
    <row r="108" spans="1:23">
      <c r="A108" s="1198" t="s">
        <v>767</v>
      </c>
      <c r="B108" s="1203"/>
      <c r="C108" s="1203">
        <v>16</v>
      </c>
      <c r="D108" s="1203"/>
      <c r="E108" s="1204"/>
      <c r="F108" s="1203"/>
      <c r="G108" s="1203"/>
      <c r="H108" s="1203"/>
      <c r="I108" s="1203"/>
      <c r="J108" s="1203"/>
      <c r="K108" s="1203">
        <f t="shared" si="48"/>
        <v>16</v>
      </c>
      <c r="L108" s="1245">
        <v>925292.87</v>
      </c>
      <c r="M108" s="1203"/>
      <c r="N108" s="1203">
        <v>16</v>
      </c>
      <c r="O108" s="1203"/>
      <c r="P108" s="1204"/>
      <c r="Q108" s="1203"/>
      <c r="R108" s="1203"/>
      <c r="S108" s="1203"/>
      <c r="T108" s="1203"/>
      <c r="U108" s="1203"/>
      <c r="V108" s="1203">
        <f t="shared" si="49"/>
        <v>16</v>
      </c>
      <c r="W108" s="1245">
        <v>925292.87</v>
      </c>
    </row>
    <row r="109" spans="1:23">
      <c r="A109" s="1198" t="s">
        <v>768</v>
      </c>
      <c r="B109" s="1203"/>
      <c r="C109" s="1203">
        <v>19</v>
      </c>
      <c r="D109" s="1203"/>
      <c r="E109" s="1204"/>
      <c r="F109" s="1203"/>
      <c r="G109" s="1203"/>
      <c r="H109" s="1203"/>
      <c r="I109" s="1203"/>
      <c r="J109" s="1203"/>
      <c r="K109" s="1203">
        <f t="shared" si="48"/>
        <v>19</v>
      </c>
      <c r="L109" s="1245">
        <v>1208121.18</v>
      </c>
      <c r="M109" s="1203"/>
      <c r="N109" s="1203">
        <v>20</v>
      </c>
      <c r="O109" s="1203"/>
      <c r="P109" s="1204"/>
      <c r="Q109" s="1203"/>
      <c r="R109" s="1203"/>
      <c r="S109" s="1203"/>
      <c r="T109" s="1203"/>
      <c r="U109" s="1203"/>
      <c r="V109" s="1203">
        <f t="shared" si="49"/>
        <v>20</v>
      </c>
      <c r="W109" s="1245">
        <f>1208121.18+63585.33</f>
        <v>1271706.51</v>
      </c>
    </row>
    <row r="110" spans="1:23">
      <c r="A110" s="1198" t="s">
        <v>769</v>
      </c>
      <c r="B110" s="1203"/>
      <c r="C110" s="1203">
        <v>1</v>
      </c>
      <c r="D110" s="1203"/>
      <c r="E110" s="1204"/>
      <c r="F110" s="1203"/>
      <c r="G110" s="1203"/>
      <c r="H110" s="1203"/>
      <c r="I110" s="1203"/>
      <c r="J110" s="1203"/>
      <c r="K110" s="1203">
        <f t="shared" si="48"/>
        <v>1</v>
      </c>
      <c r="L110" s="1245">
        <v>67202.490000000005</v>
      </c>
      <c r="M110" s="1203"/>
      <c r="N110" s="1203">
        <v>1</v>
      </c>
      <c r="O110" s="1203"/>
      <c r="P110" s="1204"/>
      <c r="Q110" s="1203"/>
      <c r="R110" s="1203"/>
      <c r="S110" s="1203"/>
      <c r="T110" s="1203"/>
      <c r="U110" s="1203"/>
      <c r="V110" s="1203">
        <f t="shared" si="49"/>
        <v>1</v>
      </c>
      <c r="W110" s="1245">
        <v>67202.399999999994</v>
      </c>
    </row>
    <row r="111" spans="1:23">
      <c r="A111" s="1198" t="s">
        <v>770</v>
      </c>
      <c r="B111" s="1203"/>
      <c r="C111" s="1203">
        <v>4</v>
      </c>
      <c r="D111" s="1203"/>
      <c r="E111" s="1204"/>
      <c r="F111" s="1203"/>
      <c r="G111" s="1203"/>
      <c r="H111" s="1203"/>
      <c r="I111" s="1203"/>
      <c r="J111" s="1203"/>
      <c r="K111" s="1203">
        <f t="shared" si="48"/>
        <v>4</v>
      </c>
      <c r="L111" s="1245">
        <v>274071.3</v>
      </c>
      <c r="M111" s="1203"/>
      <c r="N111" s="1203">
        <v>4</v>
      </c>
      <c r="O111" s="1203"/>
      <c r="P111" s="1204"/>
      <c r="Q111" s="1203"/>
      <c r="R111" s="1203"/>
      <c r="S111" s="1203"/>
      <c r="T111" s="1203"/>
      <c r="U111" s="1203"/>
      <c r="V111" s="1203">
        <f t="shared" si="49"/>
        <v>4</v>
      </c>
      <c r="W111" s="1245">
        <v>274071.3</v>
      </c>
    </row>
    <row r="112" spans="1:23" ht="3" customHeight="1">
      <c r="A112" s="1175"/>
      <c r="B112" s="1176"/>
      <c r="C112" s="1176"/>
      <c r="D112" s="1176"/>
      <c r="E112" s="1186"/>
      <c r="F112" s="1176"/>
      <c r="G112" s="1176"/>
      <c r="H112" s="1176"/>
      <c r="I112" s="1176"/>
      <c r="J112" s="1176"/>
      <c r="K112" s="1176"/>
      <c r="L112" s="1246"/>
      <c r="M112" s="1176"/>
      <c r="N112" s="1176"/>
      <c r="O112" s="1176"/>
      <c r="P112" s="1186"/>
      <c r="Q112" s="1176"/>
      <c r="R112" s="1176"/>
      <c r="S112" s="1176"/>
      <c r="T112" s="1176"/>
      <c r="U112" s="1176"/>
      <c r="V112" s="1176"/>
      <c r="W112" s="1246"/>
    </row>
    <row r="113" spans="1:23">
      <c r="A113" s="1178" t="s">
        <v>6</v>
      </c>
      <c r="B113" s="1179"/>
      <c r="C113" s="1179">
        <f>SUM(C114:C116)</f>
        <v>26</v>
      </c>
      <c r="D113" s="1179"/>
      <c r="E113" s="1179"/>
      <c r="F113" s="1179"/>
      <c r="G113" s="1179"/>
      <c r="H113" s="1179"/>
      <c r="I113" s="1179"/>
      <c r="J113" s="1179"/>
      <c r="K113" s="1179">
        <f t="shared" si="48"/>
        <v>26</v>
      </c>
      <c r="L113" s="1243">
        <f>SUM(L114:L116)</f>
        <v>1074471.79</v>
      </c>
      <c r="M113" s="1179"/>
      <c r="N113" s="1179">
        <f>SUM(N114:N116)</f>
        <v>29</v>
      </c>
      <c r="O113" s="1179"/>
      <c r="P113" s="1179"/>
      <c r="Q113" s="1179"/>
      <c r="R113" s="1179"/>
      <c r="S113" s="1179"/>
      <c r="T113" s="1179"/>
      <c r="U113" s="1179"/>
      <c r="V113" s="1179">
        <f t="shared" si="49"/>
        <v>29</v>
      </c>
      <c r="W113" s="1243">
        <f>SUM(W114:W116)</f>
        <v>1184917.8699999999</v>
      </c>
    </row>
    <row r="114" spans="1:23">
      <c r="A114" s="1195" t="s">
        <v>771</v>
      </c>
      <c r="B114" s="1201"/>
      <c r="C114" s="1201">
        <v>16</v>
      </c>
      <c r="D114" s="1201"/>
      <c r="E114" s="1202"/>
      <c r="F114" s="1201"/>
      <c r="G114" s="1201"/>
      <c r="H114" s="1201"/>
      <c r="I114" s="1201"/>
      <c r="J114" s="1201"/>
      <c r="K114" s="1201">
        <f t="shared" si="48"/>
        <v>16</v>
      </c>
      <c r="L114" s="1244">
        <v>596458.53</v>
      </c>
      <c r="M114" s="1201"/>
      <c r="N114" s="1201">
        <f>16+3</f>
        <v>19</v>
      </c>
      <c r="O114" s="1201"/>
      <c r="P114" s="1202"/>
      <c r="Q114" s="1201"/>
      <c r="R114" s="1201"/>
      <c r="S114" s="1201"/>
      <c r="T114" s="1201"/>
      <c r="U114" s="1201"/>
      <c r="V114" s="1201">
        <f t="shared" si="49"/>
        <v>19</v>
      </c>
      <c r="W114" s="1244">
        <f>596458.53+111835.98-1389.9</f>
        <v>706904.61</v>
      </c>
    </row>
    <row r="115" spans="1:23">
      <c r="A115" s="1198" t="s">
        <v>772</v>
      </c>
      <c r="B115" s="1203"/>
      <c r="C115" s="1203">
        <v>1</v>
      </c>
      <c r="D115" s="1203"/>
      <c r="E115" s="1204"/>
      <c r="F115" s="1203"/>
      <c r="G115" s="1203"/>
      <c r="H115" s="1203"/>
      <c r="I115" s="1203"/>
      <c r="J115" s="1203"/>
      <c r="K115" s="1203">
        <f t="shared" si="48"/>
        <v>1</v>
      </c>
      <c r="L115" s="1245">
        <v>38922.83</v>
      </c>
      <c r="M115" s="1203"/>
      <c r="N115" s="1203">
        <v>1</v>
      </c>
      <c r="O115" s="1203"/>
      <c r="P115" s="1204"/>
      <c r="Q115" s="1203"/>
      <c r="R115" s="1203"/>
      <c r="S115" s="1203"/>
      <c r="T115" s="1203"/>
      <c r="U115" s="1203"/>
      <c r="V115" s="1203">
        <f t="shared" si="49"/>
        <v>1</v>
      </c>
      <c r="W115" s="1245">
        <v>38922.83</v>
      </c>
    </row>
    <row r="116" spans="1:23">
      <c r="A116" s="1198" t="s">
        <v>773</v>
      </c>
      <c r="B116" s="1203"/>
      <c r="C116" s="1203">
        <v>9</v>
      </c>
      <c r="D116" s="1203"/>
      <c r="E116" s="1204"/>
      <c r="F116" s="1203"/>
      <c r="G116" s="1203"/>
      <c r="H116" s="1203"/>
      <c r="I116" s="1203"/>
      <c r="J116" s="1203"/>
      <c r="K116" s="1203">
        <f t="shared" si="48"/>
        <v>9</v>
      </c>
      <c r="L116" s="1245">
        <v>439090.43</v>
      </c>
      <c r="M116" s="1203"/>
      <c r="N116" s="1203">
        <v>9</v>
      </c>
      <c r="O116" s="1203"/>
      <c r="P116" s="1204"/>
      <c r="Q116" s="1203"/>
      <c r="R116" s="1203"/>
      <c r="S116" s="1203"/>
      <c r="T116" s="1203"/>
      <c r="U116" s="1203"/>
      <c r="V116" s="1203">
        <f t="shared" si="49"/>
        <v>9</v>
      </c>
      <c r="W116" s="1245">
        <v>439090.43</v>
      </c>
    </row>
    <row r="117" spans="1:23" ht="3.75" customHeight="1">
      <c r="A117" s="1175"/>
      <c r="B117" s="1176"/>
      <c r="C117" s="1176"/>
      <c r="D117" s="1176"/>
      <c r="E117" s="1186"/>
      <c r="F117" s="1176"/>
      <c r="G117" s="1176"/>
      <c r="H117" s="1176"/>
      <c r="I117" s="1176"/>
      <c r="J117" s="1176"/>
      <c r="K117" s="1176"/>
      <c r="L117" s="1246"/>
      <c r="M117" s="1176"/>
      <c r="N117" s="1176"/>
      <c r="O117" s="1176"/>
      <c r="P117" s="1186"/>
      <c r="Q117" s="1176"/>
      <c r="R117" s="1176"/>
      <c r="S117" s="1176"/>
      <c r="T117" s="1176"/>
      <c r="U117" s="1176"/>
      <c r="V117" s="1176"/>
      <c r="W117" s="1246"/>
    </row>
    <row r="118" spans="1:23">
      <c r="A118" s="1178" t="s">
        <v>774</v>
      </c>
      <c r="B118" s="1179"/>
      <c r="C118" s="1179"/>
      <c r="D118" s="1179">
        <v>90</v>
      </c>
      <c r="E118" s="1179"/>
      <c r="F118" s="1179"/>
      <c r="G118" s="1179"/>
      <c r="H118" s="1179"/>
      <c r="I118" s="1179"/>
      <c r="J118" s="1179"/>
      <c r="K118" s="1179">
        <f>D118</f>
        <v>90</v>
      </c>
      <c r="L118" s="1243">
        <f>SUM(L119)</f>
        <v>3877138.2</v>
      </c>
      <c r="M118" s="1179"/>
      <c r="N118" s="1179"/>
      <c r="O118" s="1179">
        <v>90</v>
      </c>
      <c r="P118" s="1179"/>
      <c r="Q118" s="1179"/>
      <c r="R118" s="1179"/>
      <c r="S118" s="1179"/>
      <c r="T118" s="1179"/>
      <c r="U118" s="1179"/>
      <c r="V118" s="1179"/>
      <c r="W118" s="1243">
        <f>SUM(W119)</f>
        <v>3877138.2</v>
      </c>
    </row>
    <row r="119" spans="1:23">
      <c r="A119" s="1205" t="s">
        <v>96</v>
      </c>
      <c r="B119" s="1206"/>
      <c r="C119" s="1206"/>
      <c r="D119" s="1206">
        <v>90</v>
      </c>
      <c r="E119" s="1206"/>
      <c r="F119" s="1206"/>
      <c r="G119" s="1206"/>
      <c r="H119" s="1206"/>
      <c r="I119" s="1206"/>
      <c r="J119" s="1206"/>
      <c r="K119" s="1206">
        <f>D119</f>
        <v>90</v>
      </c>
      <c r="L119" s="1247">
        <v>3877138.2</v>
      </c>
      <c r="M119" s="1206"/>
      <c r="N119" s="1206"/>
      <c r="O119" s="1206">
        <v>90</v>
      </c>
      <c r="P119" s="1206"/>
      <c r="Q119" s="1206"/>
      <c r="R119" s="1206"/>
      <c r="S119" s="1206"/>
      <c r="T119" s="1206"/>
      <c r="U119" s="1206"/>
      <c r="V119" s="1206"/>
      <c r="W119" s="1247">
        <v>3877138.2</v>
      </c>
    </row>
    <row r="120" spans="1:23" ht="6.75" customHeight="1">
      <c r="A120" s="1188"/>
      <c r="B120" s="1187"/>
      <c r="C120" s="1187"/>
      <c r="D120" s="1187"/>
      <c r="E120" s="1187"/>
      <c r="F120" s="1187"/>
      <c r="G120" s="1187"/>
      <c r="H120" s="1187"/>
      <c r="I120" s="1187"/>
      <c r="J120" s="1187"/>
      <c r="K120" s="1187"/>
      <c r="L120" s="1248"/>
      <c r="M120" s="1187"/>
      <c r="N120" s="1187"/>
      <c r="O120" s="1187"/>
      <c r="P120" s="1187"/>
      <c r="Q120" s="1187"/>
      <c r="R120" s="1187"/>
      <c r="S120" s="1187"/>
      <c r="T120" s="1187"/>
      <c r="U120" s="1187"/>
      <c r="V120" s="1187"/>
      <c r="W120" s="1248"/>
    </row>
    <row r="121" spans="1:23">
      <c r="A121" s="1178" t="s">
        <v>775</v>
      </c>
      <c r="B121" s="1179"/>
      <c r="C121" s="1179"/>
      <c r="D121" s="1179"/>
      <c r="E121" s="1179"/>
      <c r="F121" s="1179"/>
      <c r="G121" s="1179"/>
      <c r="H121" s="1179"/>
      <c r="I121" s="1179">
        <f>I122</f>
        <v>20</v>
      </c>
      <c r="J121" s="1179"/>
      <c r="K121" s="1179">
        <f>I121</f>
        <v>20</v>
      </c>
      <c r="L121" s="1243">
        <f>SUM(L122)</f>
        <v>290160</v>
      </c>
      <c r="M121" s="1179"/>
      <c r="N121" s="1179"/>
      <c r="O121" s="1179"/>
      <c r="P121" s="1179"/>
      <c r="Q121" s="1179"/>
      <c r="R121" s="1179"/>
      <c r="S121" s="1179"/>
      <c r="T121" s="1179">
        <v>20</v>
      </c>
      <c r="U121" s="1179"/>
      <c r="V121" s="1179"/>
      <c r="W121" s="1243">
        <f>SUM(W122)</f>
        <v>290160</v>
      </c>
    </row>
    <row r="122" spans="1:23">
      <c r="A122" s="1205" t="s">
        <v>776</v>
      </c>
      <c r="B122" s="1206"/>
      <c r="C122" s="1206"/>
      <c r="D122" s="1206"/>
      <c r="E122" s="1206"/>
      <c r="F122" s="1206"/>
      <c r="G122" s="1206"/>
      <c r="H122" s="1206"/>
      <c r="I122" s="1206">
        <v>20</v>
      </c>
      <c r="J122" s="1206"/>
      <c r="K122" s="1206">
        <f>I122</f>
        <v>20</v>
      </c>
      <c r="L122" s="1247">
        <v>290160</v>
      </c>
      <c r="M122" s="1206"/>
      <c r="N122" s="1206"/>
      <c r="O122" s="1206"/>
      <c r="P122" s="1206"/>
      <c r="Q122" s="1206"/>
      <c r="R122" s="1206"/>
      <c r="S122" s="1206"/>
      <c r="T122" s="1206">
        <v>20</v>
      </c>
      <c r="U122" s="1206"/>
      <c r="V122" s="1206"/>
      <c r="W122" s="1247">
        <v>290160</v>
      </c>
    </row>
    <row r="123" spans="1:23" ht="6" customHeight="1" thickBot="1">
      <c r="A123" s="1188"/>
      <c r="B123" s="1176"/>
      <c r="C123" s="1176"/>
      <c r="D123" s="1176"/>
      <c r="E123" s="1176"/>
      <c r="F123" s="1176"/>
      <c r="G123" s="1176"/>
      <c r="H123" s="1176"/>
      <c r="I123" s="1176"/>
      <c r="J123" s="1176"/>
      <c r="K123" s="1176"/>
      <c r="L123" s="1246"/>
      <c r="M123" s="1176"/>
      <c r="N123" s="1176"/>
      <c r="O123" s="1176"/>
      <c r="P123" s="1176"/>
      <c r="Q123" s="1176"/>
      <c r="R123" s="1176"/>
      <c r="S123" s="1176"/>
      <c r="T123" s="1176"/>
      <c r="U123" s="1176"/>
      <c r="V123" s="1176"/>
      <c r="W123" s="1246"/>
    </row>
    <row r="124" spans="1:23" ht="17.25" customHeight="1" thickBot="1">
      <c r="A124" s="1207" t="s">
        <v>20</v>
      </c>
      <c r="B124" s="1208"/>
      <c r="C124" s="1208">
        <f>+C121+C118+C113+C103+C92+C85</f>
        <v>234</v>
      </c>
      <c r="D124" s="1208">
        <f>+D121+D118+D113+D103+D92+D85</f>
        <v>90</v>
      </c>
      <c r="E124" s="1208"/>
      <c r="F124" s="1208"/>
      <c r="G124" s="1208"/>
      <c r="H124" s="1208"/>
      <c r="I124" s="1208">
        <f>+I121+I118+I113+I103+I92+I85</f>
        <v>20</v>
      </c>
      <c r="J124" s="1208"/>
      <c r="K124" s="1208">
        <f>+K121+K118+K113+K103+K92+K85</f>
        <v>344</v>
      </c>
      <c r="L124" s="1249">
        <f>+L121+L118+L113+L103+L92+L85</f>
        <v>26584277.200000003</v>
      </c>
      <c r="M124" s="1208"/>
      <c r="N124" s="1208">
        <f>+N113+N103+N92+N85</f>
        <v>236</v>
      </c>
      <c r="O124" s="1208"/>
      <c r="P124" s="1208"/>
      <c r="Q124" s="1208"/>
      <c r="R124" s="1208"/>
      <c r="S124" s="1208"/>
      <c r="T124" s="1208">
        <f>+T121</f>
        <v>20</v>
      </c>
      <c r="U124" s="1208"/>
      <c r="V124" s="1208"/>
      <c r="W124" s="1249">
        <f>+W121+W118+W113+W103+W92+W85</f>
        <v>26479282.199999999</v>
      </c>
    </row>
    <row r="125" spans="1:23">
      <c r="A125" s="1183" t="s">
        <v>289</v>
      </c>
      <c r="B125" s="1184"/>
      <c r="C125" s="1184"/>
      <c r="D125" s="1184"/>
      <c r="E125" s="1184"/>
      <c r="F125" s="1184"/>
      <c r="G125" s="1184"/>
      <c r="H125" s="1184"/>
      <c r="I125" s="1184"/>
      <c r="J125" s="1184"/>
      <c r="K125" s="1184"/>
      <c r="L125" s="1184"/>
      <c r="M125" s="1184"/>
      <c r="N125" s="1184"/>
      <c r="O125" s="1184"/>
      <c r="P125" s="1185"/>
      <c r="Q125" s="1164"/>
      <c r="R125" s="763"/>
      <c r="S125" s="763"/>
      <c r="T125" s="952"/>
      <c r="U125" s="952"/>
      <c r="V125" s="952"/>
      <c r="W125" s="952"/>
    </row>
    <row r="126" spans="1:23">
      <c r="A126" s="1162" t="s">
        <v>283</v>
      </c>
    </row>
    <row r="127" spans="1:23">
      <c r="A127" s="1162" t="s">
        <v>287</v>
      </c>
    </row>
    <row r="128" spans="1:23">
      <c r="A128" s="1162" t="s">
        <v>294</v>
      </c>
    </row>
    <row r="130" spans="1:28" ht="21.75" customHeight="1" thickBot="1">
      <c r="A130" s="1229" t="s">
        <v>563</v>
      </c>
      <c r="B130" s="1230"/>
      <c r="C130" s="1230"/>
      <c r="D130" s="1230"/>
      <c r="E130" s="1230"/>
      <c r="F130" s="1230"/>
      <c r="G130" s="1230"/>
      <c r="H130" s="1230"/>
      <c r="I130" s="1230"/>
      <c r="J130" s="1230"/>
      <c r="K130" s="1230"/>
      <c r="L130" s="1230"/>
      <c r="M130" s="1230"/>
      <c r="N130" s="1230"/>
      <c r="O130" s="1230"/>
      <c r="P130" s="1230"/>
      <c r="Q130" s="1230"/>
      <c r="R130" s="1230"/>
      <c r="S130" s="1230"/>
      <c r="T130" s="1230"/>
      <c r="U130" s="1230"/>
      <c r="V130" s="1230"/>
      <c r="W130" s="1230"/>
      <c r="Y130" s="952"/>
      <c r="Z130" s="952"/>
      <c r="AA130" s="952"/>
      <c r="AB130" s="952"/>
    </row>
    <row r="131" spans="1:28" ht="12">
      <c r="A131" s="1231" t="s">
        <v>10</v>
      </c>
      <c r="B131" s="1694" t="s">
        <v>396</v>
      </c>
      <c r="C131" s="1695"/>
      <c r="D131" s="1695"/>
      <c r="E131" s="1695"/>
      <c r="F131" s="1695"/>
      <c r="G131" s="1695"/>
      <c r="H131" s="1695"/>
      <c r="I131" s="1695"/>
      <c r="J131" s="1695"/>
      <c r="K131" s="1695"/>
      <c r="L131" s="1696"/>
      <c r="M131" s="1694" t="s">
        <v>397</v>
      </c>
      <c r="N131" s="1695"/>
      <c r="O131" s="1695"/>
      <c r="P131" s="1695"/>
      <c r="Q131" s="1695"/>
      <c r="R131" s="1695"/>
      <c r="S131" s="1695"/>
      <c r="T131" s="1695"/>
      <c r="U131" s="1695"/>
      <c r="V131" s="1695"/>
      <c r="W131" s="1696"/>
      <c r="Y131" s="952"/>
      <c r="Z131" s="952"/>
      <c r="AA131" s="952"/>
      <c r="AB131" s="952"/>
    </row>
    <row r="132" spans="1:28" ht="114" customHeight="1" thickBot="1">
      <c r="A132" s="1232" t="s">
        <v>9</v>
      </c>
      <c r="B132" s="1233" t="s">
        <v>323</v>
      </c>
      <c r="C132" s="1233" t="s">
        <v>126</v>
      </c>
      <c r="D132" s="1234" t="s">
        <v>282</v>
      </c>
      <c r="E132" s="1234" t="s">
        <v>280</v>
      </c>
      <c r="F132" s="1234" t="s">
        <v>284</v>
      </c>
      <c r="G132" s="1234" t="s">
        <v>285</v>
      </c>
      <c r="H132" s="1234" t="s">
        <v>286</v>
      </c>
      <c r="I132" s="1234" t="s">
        <v>293</v>
      </c>
      <c r="J132" s="1235" t="s">
        <v>288</v>
      </c>
      <c r="K132" s="1236" t="s">
        <v>290</v>
      </c>
      <c r="L132" s="1237" t="s">
        <v>292</v>
      </c>
      <c r="M132" s="1238" t="s">
        <v>323</v>
      </c>
      <c r="N132" s="1238" t="s">
        <v>126</v>
      </c>
      <c r="O132" s="1239" t="s">
        <v>282</v>
      </c>
      <c r="P132" s="1239" t="s">
        <v>280</v>
      </c>
      <c r="Q132" s="1239" t="s">
        <v>284</v>
      </c>
      <c r="R132" s="1239" t="s">
        <v>285</v>
      </c>
      <c r="S132" s="1239" t="s">
        <v>286</v>
      </c>
      <c r="T132" s="1239" t="s">
        <v>293</v>
      </c>
      <c r="U132" s="1240" t="s">
        <v>288</v>
      </c>
      <c r="V132" s="1241" t="s">
        <v>290</v>
      </c>
      <c r="W132" s="1242" t="s">
        <v>291</v>
      </c>
      <c r="Y132" s="952"/>
      <c r="Z132" s="952"/>
      <c r="AA132" s="952"/>
      <c r="AB132" s="952"/>
    </row>
    <row r="133" spans="1:28" ht="9" customHeight="1">
      <c r="A133" s="1175"/>
      <c r="B133" s="1209"/>
      <c r="C133" s="1210"/>
      <c r="D133" s="1210"/>
      <c r="E133" s="1210"/>
      <c r="F133" s="1210"/>
      <c r="G133" s="1210"/>
      <c r="H133" s="1210"/>
      <c r="I133" s="1210"/>
      <c r="J133" s="1210"/>
      <c r="K133" s="1210"/>
      <c r="L133" s="1211"/>
      <c r="M133" s="1176"/>
      <c r="N133" s="1176"/>
      <c r="O133" s="1176"/>
      <c r="P133" s="1176"/>
      <c r="Q133" s="1176"/>
      <c r="R133" s="1176"/>
      <c r="S133" s="1176"/>
      <c r="T133" s="1176"/>
      <c r="U133" s="1176"/>
      <c r="V133" s="1176"/>
      <c r="W133" s="1212"/>
      <c r="Y133" s="952"/>
      <c r="Z133" s="952"/>
      <c r="AA133" s="952"/>
      <c r="AB133" s="952"/>
    </row>
    <row r="134" spans="1:28" ht="14.1" customHeight="1">
      <c r="A134" s="1178" t="s">
        <v>7</v>
      </c>
      <c r="B134" s="1213"/>
      <c r="C134" s="1192">
        <f>SUM(C135:C141)</f>
        <v>36</v>
      </c>
      <c r="D134" s="1192">
        <f t="shared" ref="D134:W134" si="50">SUM(D135:D141)</f>
        <v>2</v>
      </c>
      <c r="E134" s="1192">
        <f t="shared" si="50"/>
        <v>0</v>
      </c>
      <c r="F134" s="1192">
        <f t="shared" si="50"/>
        <v>0</v>
      </c>
      <c r="G134" s="1192">
        <f t="shared" si="50"/>
        <v>0</v>
      </c>
      <c r="H134" s="1192">
        <f t="shared" si="50"/>
        <v>0</v>
      </c>
      <c r="I134" s="1192">
        <f t="shared" si="50"/>
        <v>0</v>
      </c>
      <c r="J134" s="1192">
        <f t="shared" si="50"/>
        <v>3</v>
      </c>
      <c r="K134" s="1192">
        <f t="shared" si="50"/>
        <v>41</v>
      </c>
      <c r="L134" s="1190">
        <f>SUM(L135:L141)</f>
        <v>6298857.3549999995</v>
      </c>
      <c r="M134" s="1192">
        <f t="shared" si="50"/>
        <v>0</v>
      </c>
      <c r="N134" s="1192">
        <f t="shared" si="50"/>
        <v>36</v>
      </c>
      <c r="O134" s="1192">
        <f t="shared" si="50"/>
        <v>1</v>
      </c>
      <c r="P134" s="1192">
        <f t="shared" si="50"/>
        <v>0</v>
      </c>
      <c r="Q134" s="1192">
        <f t="shared" si="50"/>
        <v>0</v>
      </c>
      <c r="R134" s="1192">
        <f t="shared" si="50"/>
        <v>0</v>
      </c>
      <c r="S134" s="1192">
        <f t="shared" si="50"/>
        <v>0</v>
      </c>
      <c r="T134" s="1192">
        <f t="shared" si="50"/>
        <v>0</v>
      </c>
      <c r="U134" s="1192">
        <f t="shared" si="50"/>
        <v>3</v>
      </c>
      <c r="V134" s="1192">
        <f t="shared" si="50"/>
        <v>40</v>
      </c>
      <c r="W134" s="1214">
        <f t="shared" si="50"/>
        <v>6111657.3549999995</v>
      </c>
      <c r="Y134" s="952"/>
      <c r="Z134" s="952"/>
      <c r="AA134" s="952"/>
      <c r="AB134" s="952"/>
    </row>
    <row r="135" spans="1:28" ht="14.1" customHeight="1">
      <c r="A135" s="1195" t="s">
        <v>753</v>
      </c>
      <c r="B135" s="1215"/>
      <c r="C135" s="1196">
        <v>1</v>
      </c>
      <c r="D135" s="1216"/>
      <c r="E135" s="1216"/>
      <c r="F135" s="1216"/>
      <c r="G135" s="1216"/>
      <c r="H135" s="1216"/>
      <c r="I135" s="1216"/>
      <c r="J135" s="1216"/>
      <c r="K135" s="1216">
        <f>SUM(C135:J135)</f>
        <v>1</v>
      </c>
      <c r="L135" s="1217">
        <v>238503.39</v>
      </c>
      <c r="M135" s="1196"/>
      <c r="N135" s="1196">
        <v>1</v>
      </c>
      <c r="O135" s="1216"/>
      <c r="P135" s="1216"/>
      <c r="Q135" s="1216"/>
      <c r="R135" s="1216"/>
      <c r="S135" s="1216"/>
      <c r="T135" s="1216"/>
      <c r="U135" s="1216"/>
      <c r="V135" s="1196">
        <f>SUM(N135:U135)</f>
        <v>1</v>
      </c>
      <c r="W135" s="1218">
        <v>238503.39</v>
      </c>
      <c r="Y135" s="952"/>
      <c r="Z135" s="952"/>
      <c r="AA135" s="952"/>
      <c r="AB135" s="952"/>
    </row>
    <row r="136" spans="1:28" ht="14.1" customHeight="1">
      <c r="A136" s="1198" t="s">
        <v>752</v>
      </c>
      <c r="B136" s="1219"/>
      <c r="C136" s="1199">
        <v>1</v>
      </c>
      <c r="D136" s="1199"/>
      <c r="E136" s="1199"/>
      <c r="F136" s="1199"/>
      <c r="G136" s="1199"/>
      <c r="H136" s="1199"/>
      <c r="I136" s="1199"/>
      <c r="J136" s="1199"/>
      <c r="K136" s="1220">
        <f t="shared" ref="K136:K141" si="51">SUM(C136:J136)</f>
        <v>1</v>
      </c>
      <c r="L136" s="1200">
        <v>215501.98499999999</v>
      </c>
      <c r="M136" s="1199"/>
      <c r="N136" s="1199">
        <v>1</v>
      </c>
      <c r="O136" s="1199"/>
      <c r="P136" s="1199"/>
      <c r="Q136" s="1199"/>
      <c r="R136" s="1199"/>
      <c r="S136" s="1199"/>
      <c r="T136" s="1199"/>
      <c r="U136" s="1199"/>
      <c r="V136" s="1199">
        <f t="shared" ref="V136:V141" si="52">SUM(N136:U136)</f>
        <v>1</v>
      </c>
      <c r="W136" s="1221">
        <v>215501.98499999999</v>
      </c>
      <c r="Y136" s="952"/>
      <c r="Z136" s="952"/>
      <c r="AA136" s="952"/>
      <c r="AB136" s="952"/>
    </row>
    <row r="137" spans="1:28" ht="14.1" customHeight="1">
      <c r="A137" s="1198" t="s">
        <v>751</v>
      </c>
      <c r="B137" s="1219"/>
      <c r="C137" s="1199">
        <v>14</v>
      </c>
      <c r="D137" s="1199"/>
      <c r="E137" s="1199"/>
      <c r="F137" s="1199"/>
      <c r="G137" s="1199"/>
      <c r="H137" s="1199"/>
      <c r="I137" s="1199"/>
      <c r="J137" s="1199"/>
      <c r="K137" s="1220">
        <f t="shared" si="51"/>
        <v>14</v>
      </c>
      <c r="L137" s="1200">
        <v>2404686.895</v>
      </c>
      <c r="M137" s="1199"/>
      <c r="N137" s="1199">
        <v>14</v>
      </c>
      <c r="O137" s="1199"/>
      <c r="P137" s="1199"/>
      <c r="Q137" s="1199"/>
      <c r="R137" s="1199"/>
      <c r="S137" s="1199"/>
      <c r="T137" s="1199"/>
      <c r="U137" s="1199"/>
      <c r="V137" s="1199">
        <f t="shared" si="52"/>
        <v>14</v>
      </c>
      <c r="W137" s="1221">
        <v>2404686.895</v>
      </c>
      <c r="Y137" s="952"/>
      <c r="Z137" s="952"/>
      <c r="AA137" s="952"/>
      <c r="AB137" s="952"/>
    </row>
    <row r="138" spans="1:28" ht="14.1" customHeight="1">
      <c r="A138" s="1198" t="s">
        <v>750</v>
      </c>
      <c r="B138" s="1219"/>
      <c r="C138" s="1199">
        <v>6</v>
      </c>
      <c r="D138" s="1199"/>
      <c r="E138" s="1199"/>
      <c r="F138" s="1199"/>
      <c r="G138" s="1199"/>
      <c r="H138" s="1199"/>
      <c r="I138" s="1199"/>
      <c r="J138" s="1199"/>
      <c r="K138" s="1220">
        <f t="shared" si="51"/>
        <v>6</v>
      </c>
      <c r="L138" s="1200">
        <v>972488.12999999989</v>
      </c>
      <c r="M138" s="1199"/>
      <c r="N138" s="1199">
        <v>6</v>
      </c>
      <c r="O138" s="1199"/>
      <c r="P138" s="1199"/>
      <c r="Q138" s="1199"/>
      <c r="R138" s="1199"/>
      <c r="S138" s="1199"/>
      <c r="T138" s="1199"/>
      <c r="U138" s="1199"/>
      <c r="V138" s="1199">
        <f t="shared" si="52"/>
        <v>6</v>
      </c>
      <c r="W138" s="1221">
        <v>972488.12999999989</v>
      </c>
      <c r="Y138" s="952"/>
      <c r="Z138" s="952"/>
      <c r="AA138" s="952"/>
      <c r="AB138" s="952"/>
    </row>
    <row r="139" spans="1:28" ht="14.1" customHeight="1">
      <c r="A139" s="1198" t="s">
        <v>749</v>
      </c>
      <c r="B139" s="1219"/>
      <c r="C139" s="1199">
        <v>14</v>
      </c>
      <c r="D139" s="1199"/>
      <c r="E139" s="1199"/>
      <c r="F139" s="1199"/>
      <c r="G139" s="1199"/>
      <c r="H139" s="1199"/>
      <c r="I139" s="1199"/>
      <c r="J139" s="1199"/>
      <c r="K139" s="1220">
        <f t="shared" si="51"/>
        <v>14</v>
      </c>
      <c r="L139" s="1200">
        <v>2054036.9549999996</v>
      </c>
      <c r="M139" s="1199"/>
      <c r="N139" s="1199">
        <v>14</v>
      </c>
      <c r="O139" s="1199"/>
      <c r="P139" s="1199"/>
      <c r="Q139" s="1199"/>
      <c r="R139" s="1199"/>
      <c r="S139" s="1199"/>
      <c r="T139" s="1199"/>
      <c r="U139" s="1199"/>
      <c r="V139" s="1199">
        <f t="shared" si="52"/>
        <v>14</v>
      </c>
      <c r="W139" s="1221">
        <v>2054036.9549999996</v>
      </c>
      <c r="Y139" s="952"/>
      <c r="Z139" s="952"/>
      <c r="AA139" s="952"/>
      <c r="AB139" s="952"/>
    </row>
    <row r="140" spans="1:28" ht="14.1" customHeight="1">
      <c r="A140" s="1198" t="s">
        <v>4868</v>
      </c>
      <c r="B140" s="1219"/>
      <c r="C140" s="1199"/>
      <c r="D140" s="1199"/>
      <c r="E140" s="1199"/>
      <c r="F140" s="1199"/>
      <c r="G140" s="1199"/>
      <c r="H140" s="1199"/>
      <c r="I140" s="1199"/>
      <c r="J140" s="1199">
        <v>3</v>
      </c>
      <c r="K140" s="1220">
        <f t="shared" si="51"/>
        <v>3</v>
      </c>
      <c r="L140" s="1200">
        <v>39240</v>
      </c>
      <c r="M140" s="1199"/>
      <c r="N140" s="1199"/>
      <c r="O140" s="1199"/>
      <c r="P140" s="1199"/>
      <c r="Q140" s="1199"/>
      <c r="R140" s="1199"/>
      <c r="S140" s="1199"/>
      <c r="T140" s="1199"/>
      <c r="U140" s="1199">
        <v>3</v>
      </c>
      <c r="V140" s="1199">
        <f t="shared" si="52"/>
        <v>3</v>
      </c>
      <c r="W140" s="1221">
        <v>39240</v>
      </c>
      <c r="Y140" s="952"/>
      <c r="Z140" s="952"/>
      <c r="AA140" s="952"/>
      <c r="AB140" s="952"/>
    </row>
    <row r="141" spans="1:28" ht="14.1" customHeight="1">
      <c r="A141" s="1198" t="s">
        <v>96</v>
      </c>
      <c r="B141" s="1219"/>
      <c r="C141" s="1199"/>
      <c r="D141" s="1199">
        <v>2</v>
      </c>
      <c r="E141" s="1199"/>
      <c r="F141" s="1199"/>
      <c r="G141" s="1199"/>
      <c r="H141" s="1199"/>
      <c r="I141" s="1199"/>
      <c r="J141" s="1199"/>
      <c r="K141" s="1220">
        <f t="shared" si="51"/>
        <v>2</v>
      </c>
      <c r="L141" s="1200">
        <v>374400</v>
      </c>
      <c r="M141" s="1199"/>
      <c r="N141" s="1199"/>
      <c r="O141" s="1199">
        <v>1</v>
      </c>
      <c r="P141" s="1199"/>
      <c r="Q141" s="1199"/>
      <c r="R141" s="1199"/>
      <c r="S141" s="1199"/>
      <c r="T141" s="1199"/>
      <c r="U141" s="1199"/>
      <c r="V141" s="1199">
        <f t="shared" si="52"/>
        <v>1</v>
      </c>
      <c r="W141" s="1221">
        <v>187200</v>
      </c>
      <c r="Y141" s="952"/>
      <c r="Z141" s="952"/>
      <c r="AA141" s="952"/>
      <c r="AB141" s="952"/>
    </row>
    <row r="142" spans="1:28" ht="6" customHeight="1">
      <c r="A142" s="1175"/>
      <c r="B142" s="1222"/>
      <c r="C142" s="1193"/>
      <c r="D142" s="1193"/>
      <c r="E142" s="1193"/>
      <c r="F142" s="1193"/>
      <c r="G142" s="1193"/>
      <c r="H142" s="1193"/>
      <c r="I142" s="1193"/>
      <c r="J142" s="1193"/>
      <c r="K142" s="1193"/>
      <c r="L142" s="1189"/>
      <c r="M142" s="1193"/>
      <c r="N142" s="1193"/>
      <c r="O142" s="1193"/>
      <c r="P142" s="1193"/>
      <c r="Q142" s="1193"/>
      <c r="R142" s="1193"/>
      <c r="S142" s="1193"/>
      <c r="T142" s="1193"/>
      <c r="U142" s="1193"/>
      <c r="V142" s="1193"/>
      <c r="W142" s="1223"/>
      <c r="Y142" s="952"/>
      <c r="Z142" s="952"/>
      <c r="AA142" s="952"/>
      <c r="AB142" s="952"/>
    </row>
    <row r="143" spans="1:28" ht="14.1" customHeight="1">
      <c r="A143" s="1178" t="s">
        <v>4</v>
      </c>
      <c r="B143" s="1213"/>
      <c r="C143" s="1192">
        <f>SUM(C144:C149)</f>
        <v>50</v>
      </c>
      <c r="D143" s="1192">
        <f t="shared" ref="D143:W143" si="53">SUM(D144:D149)</f>
        <v>275</v>
      </c>
      <c r="E143" s="1192">
        <f t="shared" si="53"/>
        <v>0</v>
      </c>
      <c r="F143" s="1192">
        <f t="shared" si="53"/>
        <v>0</v>
      </c>
      <c r="G143" s="1192">
        <f t="shared" si="53"/>
        <v>0</v>
      </c>
      <c r="H143" s="1192">
        <f t="shared" si="53"/>
        <v>0</v>
      </c>
      <c r="I143" s="1192">
        <f t="shared" si="53"/>
        <v>0</v>
      </c>
      <c r="J143" s="1192">
        <f t="shared" si="53"/>
        <v>0</v>
      </c>
      <c r="K143" s="1192">
        <f t="shared" si="53"/>
        <v>325</v>
      </c>
      <c r="L143" s="1190">
        <f>SUM(L144:L149)</f>
        <v>22184177.039999999</v>
      </c>
      <c r="M143" s="1192">
        <f t="shared" si="53"/>
        <v>0</v>
      </c>
      <c r="N143" s="1192">
        <f t="shared" si="53"/>
        <v>50</v>
      </c>
      <c r="O143" s="1192">
        <f t="shared" si="53"/>
        <v>262</v>
      </c>
      <c r="P143" s="1192">
        <f t="shared" si="53"/>
        <v>0</v>
      </c>
      <c r="Q143" s="1192">
        <f t="shared" si="53"/>
        <v>0</v>
      </c>
      <c r="R143" s="1192">
        <f t="shared" si="53"/>
        <v>0</v>
      </c>
      <c r="S143" s="1192">
        <f t="shared" si="53"/>
        <v>0</v>
      </c>
      <c r="T143" s="1192">
        <f t="shared" si="53"/>
        <v>0</v>
      </c>
      <c r="U143" s="1192">
        <f t="shared" si="53"/>
        <v>0</v>
      </c>
      <c r="V143" s="1192">
        <f t="shared" si="53"/>
        <v>312</v>
      </c>
      <c r="W143" s="1214">
        <f t="shared" si="53"/>
        <v>22280127.039999999</v>
      </c>
      <c r="Y143" s="952"/>
      <c r="Z143" s="952"/>
      <c r="AA143" s="952"/>
      <c r="AB143" s="952"/>
    </row>
    <row r="144" spans="1:28" ht="14.1" customHeight="1">
      <c r="A144" s="1195" t="s">
        <v>758</v>
      </c>
      <c r="B144" s="1215"/>
      <c r="C144" s="1196">
        <v>18</v>
      </c>
      <c r="D144" s="1196"/>
      <c r="E144" s="1196"/>
      <c r="F144" s="1196"/>
      <c r="G144" s="1196"/>
      <c r="H144" s="1196"/>
      <c r="I144" s="1196"/>
      <c r="J144" s="1196"/>
      <c r="K144" s="1216">
        <f t="shared" ref="K144:K148" si="54">SUM(C144:J144)</f>
        <v>18</v>
      </c>
      <c r="L144" s="1197">
        <f>1793540.1-221286.95-15</f>
        <v>1572238.1500000001</v>
      </c>
      <c r="M144" s="1196"/>
      <c r="N144" s="1196">
        <v>18</v>
      </c>
      <c r="O144" s="1196"/>
      <c r="P144" s="1196"/>
      <c r="Q144" s="1196"/>
      <c r="R144" s="1196"/>
      <c r="S144" s="1196"/>
      <c r="T144" s="1196"/>
      <c r="U144" s="1196"/>
      <c r="V144" s="1196">
        <f>SUM(M144:U144)</f>
        <v>18</v>
      </c>
      <c r="W144" s="1224">
        <f>1793540.1-221286.95</f>
        <v>1572253.1500000001</v>
      </c>
      <c r="Y144" s="952"/>
      <c r="Z144" s="952"/>
      <c r="AA144" s="952"/>
      <c r="AB144" s="952"/>
    </row>
    <row r="145" spans="1:28" ht="14.1" customHeight="1">
      <c r="A145" s="1198" t="s">
        <v>757</v>
      </c>
      <c r="B145" s="1219"/>
      <c r="C145" s="1199">
        <v>19</v>
      </c>
      <c r="D145" s="1199"/>
      <c r="E145" s="1199"/>
      <c r="F145" s="1199"/>
      <c r="G145" s="1199"/>
      <c r="H145" s="1199"/>
      <c r="I145" s="1199"/>
      <c r="J145" s="1199"/>
      <c r="K145" s="1220">
        <f t="shared" si="54"/>
        <v>19</v>
      </c>
      <c r="L145" s="1200">
        <v>1829373.35</v>
      </c>
      <c r="M145" s="1199"/>
      <c r="N145" s="1199">
        <v>19</v>
      </c>
      <c r="O145" s="1199"/>
      <c r="P145" s="1199"/>
      <c r="Q145" s="1199"/>
      <c r="R145" s="1199"/>
      <c r="S145" s="1199"/>
      <c r="T145" s="1199"/>
      <c r="U145" s="1199"/>
      <c r="V145" s="1199">
        <f>SUM(M145:U145)</f>
        <v>19</v>
      </c>
      <c r="W145" s="1221">
        <v>1829373.35</v>
      </c>
      <c r="Y145" s="952"/>
      <c r="Z145" s="952"/>
      <c r="AA145" s="952"/>
      <c r="AB145" s="952"/>
    </row>
    <row r="146" spans="1:28" ht="14.1" customHeight="1">
      <c r="A146" s="1198" t="s">
        <v>756</v>
      </c>
      <c r="B146" s="1219"/>
      <c r="C146" s="1199">
        <v>9</v>
      </c>
      <c r="D146" s="1199"/>
      <c r="E146" s="1199"/>
      <c r="F146" s="1199"/>
      <c r="G146" s="1199"/>
      <c r="H146" s="1199"/>
      <c r="I146" s="1199"/>
      <c r="J146" s="1199"/>
      <c r="K146" s="1220">
        <f t="shared" si="54"/>
        <v>9</v>
      </c>
      <c r="L146" s="1200">
        <f>819085.1-172506.89</f>
        <v>646578.21</v>
      </c>
      <c r="M146" s="1199"/>
      <c r="N146" s="1199">
        <v>9</v>
      </c>
      <c r="O146" s="1199"/>
      <c r="P146" s="1199"/>
      <c r="Q146" s="1199"/>
      <c r="R146" s="1199"/>
      <c r="S146" s="1199"/>
      <c r="T146" s="1199"/>
      <c r="U146" s="1199"/>
      <c r="V146" s="1199">
        <f t="shared" ref="V146:V148" si="55">SUM(M146:U146)</f>
        <v>9</v>
      </c>
      <c r="W146" s="1221">
        <f>819085.1-172506.89</f>
        <v>646578.21</v>
      </c>
      <c r="Y146" s="952"/>
      <c r="Z146" s="952"/>
      <c r="AA146" s="952"/>
      <c r="AB146" s="952"/>
    </row>
    <row r="147" spans="1:28" ht="14.1" customHeight="1">
      <c r="A147" s="1198" t="s">
        <v>754</v>
      </c>
      <c r="B147" s="1219"/>
      <c r="C147" s="1199">
        <v>4</v>
      </c>
      <c r="D147" s="1199"/>
      <c r="E147" s="1199"/>
      <c r="F147" s="1199"/>
      <c r="G147" s="1199"/>
      <c r="H147" s="1199"/>
      <c r="I147" s="1199"/>
      <c r="J147" s="1199"/>
      <c r="K147" s="1220">
        <f t="shared" si="54"/>
        <v>4</v>
      </c>
      <c r="L147" s="1200">
        <v>327622.33</v>
      </c>
      <c r="M147" s="1199"/>
      <c r="N147" s="1199">
        <v>4</v>
      </c>
      <c r="O147" s="1199"/>
      <c r="P147" s="1199"/>
      <c r="Q147" s="1199"/>
      <c r="R147" s="1199"/>
      <c r="S147" s="1199"/>
      <c r="T147" s="1199"/>
      <c r="U147" s="1199"/>
      <c r="V147" s="1199">
        <f t="shared" si="55"/>
        <v>4</v>
      </c>
      <c r="W147" s="1221">
        <v>327622.33</v>
      </c>
      <c r="Y147" s="952"/>
      <c r="Z147" s="952"/>
      <c r="AA147" s="952"/>
      <c r="AB147" s="952"/>
    </row>
    <row r="148" spans="1:28" ht="14.1" customHeight="1">
      <c r="A148" s="1198" t="s">
        <v>96</v>
      </c>
      <c r="B148" s="1219"/>
      <c r="C148" s="1199"/>
      <c r="D148" s="1199">
        <v>275</v>
      </c>
      <c r="E148" s="1199"/>
      <c r="F148" s="1199"/>
      <c r="G148" s="1199"/>
      <c r="H148" s="1199"/>
      <c r="I148" s="1199"/>
      <c r="J148" s="1199"/>
      <c r="K148" s="1220">
        <f t="shared" si="54"/>
        <v>275</v>
      </c>
      <c r="L148" s="1200">
        <v>17808365</v>
      </c>
      <c r="M148" s="1199"/>
      <c r="N148" s="1199"/>
      <c r="O148" s="1199">
        <v>262</v>
      </c>
      <c r="P148" s="1199"/>
      <c r="Q148" s="1199"/>
      <c r="R148" s="1199"/>
      <c r="S148" s="1199"/>
      <c r="T148" s="1199"/>
      <c r="U148" s="1199"/>
      <c r="V148" s="1199">
        <f t="shared" si="55"/>
        <v>262</v>
      </c>
      <c r="W148" s="1221">
        <v>17904300</v>
      </c>
      <c r="Y148" s="952"/>
      <c r="Z148" s="952"/>
      <c r="AA148" s="952"/>
      <c r="AB148" s="952"/>
    </row>
    <row r="149" spans="1:28" ht="14.1" customHeight="1">
      <c r="A149" s="1198" t="s">
        <v>4869</v>
      </c>
      <c r="B149" s="1219"/>
      <c r="C149" s="1199"/>
      <c r="D149" s="1199"/>
      <c r="E149" s="1199"/>
      <c r="F149" s="1199"/>
      <c r="G149" s="1199"/>
      <c r="H149" s="1199"/>
      <c r="I149" s="1199"/>
      <c r="J149" s="1199"/>
      <c r="K149" s="1199"/>
      <c r="L149" s="1200"/>
      <c r="M149" s="1199"/>
      <c r="N149" s="1199"/>
      <c r="O149" s="1199"/>
      <c r="P149" s="1199"/>
      <c r="Q149" s="1199"/>
      <c r="R149" s="1199"/>
      <c r="S149" s="1199"/>
      <c r="T149" s="1199"/>
      <c r="U149" s="1199"/>
      <c r="V149" s="1199"/>
      <c r="W149" s="1221"/>
      <c r="Y149" s="952"/>
      <c r="Z149" s="952"/>
      <c r="AA149" s="952"/>
      <c r="AB149" s="952"/>
    </row>
    <row r="150" spans="1:28" ht="6.75" customHeight="1">
      <c r="A150" s="1175"/>
      <c r="B150" s="1222"/>
      <c r="C150" s="1193"/>
      <c r="D150" s="1193"/>
      <c r="E150" s="1193"/>
      <c r="F150" s="1193"/>
      <c r="G150" s="1193"/>
      <c r="H150" s="1193"/>
      <c r="I150" s="1193"/>
      <c r="J150" s="1193"/>
      <c r="K150" s="1193"/>
      <c r="L150" s="1189"/>
      <c r="M150" s="1193"/>
      <c r="N150" s="1193"/>
      <c r="O150" s="1193"/>
      <c r="P150" s="1193"/>
      <c r="Q150" s="1193"/>
      <c r="R150" s="1193"/>
      <c r="S150" s="1193"/>
      <c r="T150" s="1193"/>
      <c r="U150" s="1193"/>
      <c r="V150" s="1193"/>
      <c r="W150" s="1223"/>
      <c r="Y150" s="952"/>
      <c r="Z150" s="952"/>
      <c r="AA150" s="952"/>
      <c r="AB150" s="952"/>
    </row>
    <row r="151" spans="1:28" ht="14.1" customHeight="1">
      <c r="A151" s="1178" t="s">
        <v>5</v>
      </c>
      <c r="B151" s="1213"/>
      <c r="C151" s="1192">
        <f>SUM(C152:C157)</f>
        <v>35</v>
      </c>
      <c r="D151" s="1192">
        <f t="shared" ref="D151:W151" si="56">SUM(D152:D157)</f>
        <v>0</v>
      </c>
      <c r="E151" s="1192">
        <f t="shared" si="56"/>
        <v>0</v>
      </c>
      <c r="F151" s="1192">
        <f t="shared" si="56"/>
        <v>0</v>
      </c>
      <c r="G151" s="1192">
        <f t="shared" si="56"/>
        <v>0</v>
      </c>
      <c r="H151" s="1192">
        <f t="shared" si="56"/>
        <v>0</v>
      </c>
      <c r="I151" s="1192">
        <f t="shared" si="56"/>
        <v>30</v>
      </c>
      <c r="J151" s="1192">
        <f t="shared" si="56"/>
        <v>0</v>
      </c>
      <c r="K151" s="1192">
        <f t="shared" si="56"/>
        <v>65</v>
      </c>
      <c r="L151" s="1190">
        <f t="shared" si="56"/>
        <v>2654082.9699999997</v>
      </c>
      <c r="M151" s="1192">
        <f t="shared" si="56"/>
        <v>0</v>
      </c>
      <c r="N151" s="1192">
        <f>SUM(N152:N157)</f>
        <v>35</v>
      </c>
      <c r="O151" s="1192">
        <f>SUM(O152:O157)</f>
        <v>0</v>
      </c>
      <c r="P151" s="1192">
        <f>SUM(P152:P157)</f>
        <v>0</v>
      </c>
      <c r="Q151" s="1192">
        <f t="shared" si="56"/>
        <v>0</v>
      </c>
      <c r="R151" s="1192">
        <f t="shared" si="56"/>
        <v>0</v>
      </c>
      <c r="S151" s="1192">
        <f t="shared" si="56"/>
        <v>0</v>
      </c>
      <c r="T151" s="1192">
        <f t="shared" si="56"/>
        <v>28</v>
      </c>
      <c r="U151" s="1192">
        <f t="shared" si="56"/>
        <v>0</v>
      </c>
      <c r="V151" s="1192">
        <f t="shared" si="56"/>
        <v>63</v>
      </c>
      <c r="W151" s="1214">
        <f t="shared" si="56"/>
        <v>2613421.9699999997</v>
      </c>
      <c r="Y151" s="952"/>
      <c r="Z151" s="952"/>
      <c r="AA151" s="952"/>
      <c r="AB151" s="952"/>
    </row>
    <row r="152" spans="1:28" ht="14.1" customHeight="1">
      <c r="A152" s="1195" t="s">
        <v>769</v>
      </c>
      <c r="B152" s="1215"/>
      <c r="C152" s="1196">
        <v>7</v>
      </c>
      <c r="D152" s="1196"/>
      <c r="E152" s="1196"/>
      <c r="F152" s="1196"/>
      <c r="G152" s="1196"/>
      <c r="H152" s="1196"/>
      <c r="I152" s="1196"/>
      <c r="J152" s="1196"/>
      <c r="K152" s="1216">
        <f t="shared" ref="K152:K157" si="57">SUM(C152:J152)</f>
        <v>7</v>
      </c>
      <c r="L152" s="1197">
        <v>538950.68999999994</v>
      </c>
      <c r="M152" s="1196"/>
      <c r="N152" s="1196">
        <v>7</v>
      </c>
      <c r="O152" s="1196"/>
      <c r="P152" s="1196"/>
      <c r="Q152" s="1196"/>
      <c r="R152" s="1196"/>
      <c r="S152" s="1196"/>
      <c r="T152" s="1196"/>
      <c r="U152" s="1196"/>
      <c r="V152" s="1196">
        <f t="shared" ref="V152:V157" si="58">SUM(N152:U152)</f>
        <v>7</v>
      </c>
      <c r="W152" s="1224">
        <v>538950.68999999994</v>
      </c>
      <c r="Y152" s="952"/>
      <c r="Z152" s="952"/>
      <c r="AA152" s="952"/>
      <c r="AB152" s="952"/>
    </row>
    <row r="153" spans="1:28" ht="14.1" customHeight="1">
      <c r="A153" s="1198" t="s">
        <v>768</v>
      </c>
      <c r="B153" s="1219"/>
      <c r="C153" s="1199">
        <v>9</v>
      </c>
      <c r="D153" s="1199"/>
      <c r="E153" s="1199"/>
      <c r="F153" s="1199"/>
      <c r="G153" s="1199"/>
      <c r="H153" s="1199"/>
      <c r="I153" s="1199"/>
      <c r="J153" s="1199"/>
      <c r="K153" s="1220">
        <f t="shared" si="57"/>
        <v>9</v>
      </c>
      <c r="L153" s="1200">
        <v>591593.9</v>
      </c>
      <c r="M153" s="1199"/>
      <c r="N153" s="1199">
        <v>9</v>
      </c>
      <c r="O153" s="1199"/>
      <c r="P153" s="1199"/>
      <c r="Q153" s="1199"/>
      <c r="R153" s="1199"/>
      <c r="S153" s="1199"/>
      <c r="T153" s="1199"/>
      <c r="U153" s="1199"/>
      <c r="V153" s="1199">
        <f t="shared" si="58"/>
        <v>9</v>
      </c>
      <c r="W153" s="1221">
        <v>591593.9</v>
      </c>
      <c r="Y153" s="952"/>
      <c r="Z153" s="952"/>
      <c r="AA153" s="952"/>
      <c r="AB153" s="952"/>
    </row>
    <row r="154" spans="1:28" ht="14.1" customHeight="1">
      <c r="A154" s="1198" t="s">
        <v>767</v>
      </c>
      <c r="B154" s="1219"/>
      <c r="C154" s="1199">
        <v>6</v>
      </c>
      <c r="D154" s="1199"/>
      <c r="E154" s="1199"/>
      <c r="F154" s="1199"/>
      <c r="G154" s="1199"/>
      <c r="H154" s="1199"/>
      <c r="I154" s="1199"/>
      <c r="J154" s="1199"/>
      <c r="K154" s="1220">
        <f t="shared" si="57"/>
        <v>6</v>
      </c>
      <c r="L154" s="1200">
        <v>362160.28</v>
      </c>
      <c r="M154" s="1199"/>
      <c r="N154" s="1199">
        <v>6</v>
      </c>
      <c r="O154" s="1199"/>
      <c r="P154" s="1199"/>
      <c r="Q154" s="1199"/>
      <c r="R154" s="1199"/>
      <c r="S154" s="1199"/>
      <c r="T154" s="1199"/>
      <c r="U154" s="1199"/>
      <c r="V154" s="1199">
        <f t="shared" si="58"/>
        <v>6</v>
      </c>
      <c r="W154" s="1221">
        <v>362160.28</v>
      </c>
      <c r="Y154" s="952"/>
      <c r="Z154" s="952"/>
      <c r="AA154" s="952"/>
      <c r="AB154" s="952"/>
    </row>
    <row r="155" spans="1:28" ht="14.1" customHeight="1">
      <c r="A155" s="1198" t="s">
        <v>766</v>
      </c>
      <c r="B155" s="1219"/>
      <c r="C155" s="1199">
        <v>5</v>
      </c>
      <c r="D155" s="1199"/>
      <c r="E155" s="1199"/>
      <c r="F155" s="1199"/>
      <c r="G155" s="1199"/>
      <c r="H155" s="1199"/>
      <c r="I155" s="1199"/>
      <c r="J155" s="1199"/>
      <c r="K155" s="1220">
        <f t="shared" si="57"/>
        <v>5</v>
      </c>
      <c r="L155" s="1200">
        <v>296956.46999999997</v>
      </c>
      <c r="M155" s="1199"/>
      <c r="N155" s="1199">
        <v>5</v>
      </c>
      <c r="O155" s="1199"/>
      <c r="P155" s="1199"/>
      <c r="Q155" s="1199"/>
      <c r="R155" s="1199"/>
      <c r="S155" s="1199"/>
      <c r="T155" s="1199"/>
      <c r="U155" s="1199"/>
      <c r="V155" s="1199">
        <f t="shared" si="58"/>
        <v>5</v>
      </c>
      <c r="W155" s="1221">
        <v>296956.46999999997</v>
      </c>
      <c r="Y155" s="952"/>
      <c r="Z155" s="952"/>
      <c r="AA155" s="952"/>
      <c r="AB155" s="952"/>
    </row>
    <row r="156" spans="1:28" ht="14.1" customHeight="1">
      <c r="A156" s="1198" t="s">
        <v>1324</v>
      </c>
      <c r="B156" s="1219"/>
      <c r="C156" s="1199">
        <v>8</v>
      </c>
      <c r="D156" s="1199"/>
      <c r="E156" s="1199"/>
      <c r="F156" s="1199"/>
      <c r="G156" s="1199"/>
      <c r="H156" s="1199"/>
      <c r="I156" s="1199"/>
      <c r="J156" s="1199"/>
      <c r="K156" s="1220">
        <f t="shared" si="57"/>
        <v>8</v>
      </c>
      <c r="L156" s="1200">
        <v>449948.63</v>
      </c>
      <c r="M156" s="1199"/>
      <c r="N156" s="1199">
        <v>8</v>
      </c>
      <c r="O156" s="1199"/>
      <c r="P156" s="1199"/>
      <c r="Q156" s="1199"/>
      <c r="R156" s="1199"/>
      <c r="S156" s="1199"/>
      <c r="T156" s="1199"/>
      <c r="U156" s="1199"/>
      <c r="V156" s="1199">
        <f t="shared" si="58"/>
        <v>8</v>
      </c>
      <c r="W156" s="1221">
        <v>449948.63</v>
      </c>
      <c r="Y156" s="952"/>
      <c r="Z156" s="952"/>
      <c r="AA156" s="952"/>
      <c r="AB156" s="952"/>
    </row>
    <row r="157" spans="1:28" ht="14.1" customHeight="1">
      <c r="A157" s="1198" t="s">
        <v>4870</v>
      </c>
      <c r="B157" s="1219"/>
      <c r="C157" s="1199"/>
      <c r="D157" s="1199"/>
      <c r="E157" s="1199"/>
      <c r="F157" s="1199"/>
      <c r="G157" s="1199"/>
      <c r="H157" s="1199"/>
      <c r="I157" s="1199">
        <v>30</v>
      </c>
      <c r="J157" s="1199"/>
      <c r="K157" s="1220">
        <f t="shared" si="57"/>
        <v>30</v>
      </c>
      <c r="L157" s="1200">
        <v>414473</v>
      </c>
      <c r="M157" s="1199"/>
      <c r="N157" s="1199"/>
      <c r="O157" s="1199"/>
      <c r="P157" s="1199"/>
      <c r="Q157" s="1199"/>
      <c r="R157" s="1199"/>
      <c r="S157" s="1199"/>
      <c r="T157" s="1199">
        <v>28</v>
      </c>
      <c r="U157" s="1199"/>
      <c r="V157" s="1199">
        <f t="shared" si="58"/>
        <v>28</v>
      </c>
      <c r="W157" s="1221">
        <v>373812</v>
      </c>
      <c r="Y157" s="952"/>
      <c r="Z157" s="952"/>
      <c r="AA157" s="952"/>
      <c r="AB157" s="952"/>
    </row>
    <row r="158" spans="1:28" ht="12">
      <c r="A158" s="1175"/>
      <c r="B158" s="1222"/>
      <c r="C158" s="1193"/>
      <c r="D158" s="1193"/>
      <c r="E158" s="1193"/>
      <c r="F158" s="1193"/>
      <c r="G158" s="1193"/>
      <c r="H158" s="1193"/>
      <c r="I158" s="1193"/>
      <c r="J158" s="1193"/>
      <c r="K158" s="1193"/>
      <c r="L158" s="1189"/>
      <c r="M158" s="1193"/>
      <c r="N158" s="1193"/>
      <c r="O158" s="1193"/>
      <c r="P158" s="1193"/>
      <c r="Q158" s="1193"/>
      <c r="R158" s="1193"/>
      <c r="S158" s="1193"/>
      <c r="T158" s="1193"/>
      <c r="U158" s="1193"/>
      <c r="V158" s="1193"/>
      <c r="W158" s="1223"/>
      <c r="Y158" s="952"/>
      <c r="Z158" s="952"/>
      <c r="AA158" s="952"/>
      <c r="AB158" s="952"/>
    </row>
    <row r="159" spans="1:28" ht="14.1" customHeight="1">
      <c r="A159" s="1178" t="s">
        <v>6</v>
      </c>
      <c r="B159" s="1213"/>
      <c r="C159" s="1192">
        <f>SUM(C160)</f>
        <v>1</v>
      </c>
      <c r="D159" s="1192">
        <f t="shared" ref="D159:W159" si="59">SUM(D160)</f>
        <v>0</v>
      </c>
      <c r="E159" s="1192">
        <f t="shared" si="59"/>
        <v>0</v>
      </c>
      <c r="F159" s="1192">
        <f t="shared" si="59"/>
        <v>0</v>
      </c>
      <c r="G159" s="1192">
        <f t="shared" si="59"/>
        <v>0</v>
      </c>
      <c r="H159" s="1192">
        <f t="shared" si="59"/>
        <v>0</v>
      </c>
      <c r="I159" s="1192">
        <f t="shared" si="59"/>
        <v>0</v>
      </c>
      <c r="J159" s="1192">
        <f t="shared" si="59"/>
        <v>0</v>
      </c>
      <c r="K159" s="1192">
        <f t="shared" si="59"/>
        <v>1</v>
      </c>
      <c r="L159" s="1190">
        <f t="shared" si="59"/>
        <v>48232.63</v>
      </c>
      <c r="M159" s="1192">
        <f t="shared" si="59"/>
        <v>0</v>
      </c>
      <c r="N159" s="1192">
        <f t="shared" si="59"/>
        <v>1</v>
      </c>
      <c r="O159" s="1192">
        <f t="shared" si="59"/>
        <v>0</v>
      </c>
      <c r="P159" s="1192">
        <f t="shared" si="59"/>
        <v>0</v>
      </c>
      <c r="Q159" s="1192">
        <f t="shared" si="59"/>
        <v>0</v>
      </c>
      <c r="R159" s="1192">
        <f t="shared" si="59"/>
        <v>0</v>
      </c>
      <c r="S159" s="1192">
        <f t="shared" si="59"/>
        <v>0</v>
      </c>
      <c r="T159" s="1192">
        <f t="shared" si="59"/>
        <v>0</v>
      </c>
      <c r="U159" s="1192">
        <f t="shared" si="59"/>
        <v>0</v>
      </c>
      <c r="V159" s="1192">
        <f t="shared" si="59"/>
        <v>1</v>
      </c>
      <c r="W159" s="1214">
        <f t="shared" si="59"/>
        <v>48232.63</v>
      </c>
      <c r="Y159" s="952"/>
      <c r="Z159" s="952"/>
      <c r="AA159" s="952"/>
      <c r="AB159" s="952"/>
    </row>
    <row r="160" spans="1:28" ht="14.1" customHeight="1">
      <c r="A160" s="1195" t="s">
        <v>773</v>
      </c>
      <c r="B160" s="1215"/>
      <c r="C160" s="1196">
        <v>1</v>
      </c>
      <c r="D160" s="1196"/>
      <c r="E160" s="1196"/>
      <c r="F160" s="1196"/>
      <c r="G160" s="1196"/>
      <c r="H160" s="1196"/>
      <c r="I160" s="1196"/>
      <c r="J160" s="1196"/>
      <c r="K160" s="1216">
        <f t="shared" ref="K160" si="60">SUM(C160:J160)</f>
        <v>1</v>
      </c>
      <c r="L160" s="1197">
        <v>48232.63</v>
      </c>
      <c r="M160" s="1196"/>
      <c r="N160" s="1196">
        <v>1</v>
      </c>
      <c r="O160" s="1196"/>
      <c r="P160" s="1196"/>
      <c r="Q160" s="1196"/>
      <c r="R160" s="1196"/>
      <c r="S160" s="1196"/>
      <c r="T160" s="1196"/>
      <c r="U160" s="1216"/>
      <c r="V160" s="1196">
        <v>1</v>
      </c>
      <c r="W160" s="1224">
        <v>48232.63</v>
      </c>
      <c r="Y160" s="952"/>
      <c r="Z160" s="952"/>
      <c r="AA160" s="952"/>
      <c r="AB160" s="952"/>
    </row>
    <row r="161" spans="1:28" ht="6.75" customHeight="1" thickBot="1">
      <c r="A161" s="1175"/>
      <c r="B161" s="1222"/>
      <c r="C161" s="1193"/>
      <c r="D161" s="1193"/>
      <c r="E161" s="1193"/>
      <c r="F161" s="1193"/>
      <c r="G161" s="1193"/>
      <c r="H161" s="1193"/>
      <c r="I161" s="1193"/>
      <c r="J161" s="1193"/>
      <c r="K161" s="1193"/>
      <c r="L161" s="1189"/>
      <c r="M161" s="1193"/>
      <c r="N161" s="1193"/>
      <c r="O161" s="1193"/>
      <c r="P161" s="1193"/>
      <c r="Q161" s="1193"/>
      <c r="R161" s="1193"/>
      <c r="S161" s="1193"/>
      <c r="T161" s="1193"/>
      <c r="U161" s="1193"/>
      <c r="V161" s="1193"/>
      <c r="W161" s="1223"/>
      <c r="Y161" s="952"/>
      <c r="Z161" s="952"/>
      <c r="AA161" s="952"/>
      <c r="AB161" s="952"/>
    </row>
    <row r="162" spans="1:28" ht="15.75" customHeight="1" thickBot="1">
      <c r="A162" s="1182" t="s">
        <v>20</v>
      </c>
      <c r="B162" s="1194"/>
      <c r="C162" s="1194">
        <f t="shared" ref="C162:W162" si="61">+C134+C143+C151+C159</f>
        <v>122</v>
      </c>
      <c r="D162" s="1194">
        <f t="shared" si="61"/>
        <v>277</v>
      </c>
      <c r="E162" s="1194">
        <f t="shared" si="61"/>
        <v>0</v>
      </c>
      <c r="F162" s="1194">
        <f t="shared" si="61"/>
        <v>0</v>
      </c>
      <c r="G162" s="1194">
        <f t="shared" si="61"/>
        <v>0</v>
      </c>
      <c r="H162" s="1194">
        <f t="shared" si="61"/>
        <v>0</v>
      </c>
      <c r="I162" s="1194">
        <f t="shared" si="61"/>
        <v>30</v>
      </c>
      <c r="J162" s="1194">
        <f t="shared" si="61"/>
        <v>3</v>
      </c>
      <c r="K162" s="1194">
        <f t="shared" si="61"/>
        <v>432</v>
      </c>
      <c r="L162" s="1191">
        <f t="shared" si="61"/>
        <v>31185349.994999997</v>
      </c>
      <c r="M162" s="1225">
        <f t="shared" si="61"/>
        <v>0</v>
      </c>
      <c r="N162" s="1194">
        <f t="shared" si="61"/>
        <v>122</v>
      </c>
      <c r="O162" s="1194">
        <f t="shared" si="61"/>
        <v>263</v>
      </c>
      <c r="P162" s="1194">
        <f t="shared" si="61"/>
        <v>0</v>
      </c>
      <c r="Q162" s="1194">
        <f t="shared" si="61"/>
        <v>0</v>
      </c>
      <c r="R162" s="1194">
        <f t="shared" si="61"/>
        <v>0</v>
      </c>
      <c r="S162" s="1194">
        <f t="shared" si="61"/>
        <v>0</v>
      </c>
      <c r="T162" s="1194">
        <f t="shared" si="61"/>
        <v>28</v>
      </c>
      <c r="U162" s="1194">
        <f t="shared" si="61"/>
        <v>3</v>
      </c>
      <c r="V162" s="1191">
        <f t="shared" si="61"/>
        <v>416</v>
      </c>
      <c r="W162" s="1191">
        <f t="shared" si="61"/>
        <v>31053438.994999997</v>
      </c>
      <c r="Y162" s="952"/>
      <c r="Z162" s="952"/>
      <c r="AA162" s="952"/>
      <c r="AB162" s="952"/>
    </row>
    <row r="163" spans="1:28" ht="12">
      <c r="A163" s="1183" t="s">
        <v>289</v>
      </c>
      <c r="B163" s="1184"/>
      <c r="C163" s="1184"/>
      <c r="D163" s="1184"/>
      <c r="E163" s="1184"/>
      <c r="F163" s="1184"/>
      <c r="G163" s="1184"/>
      <c r="H163" s="1184"/>
      <c r="I163" s="1184"/>
      <c r="J163" s="1184"/>
      <c r="K163" s="1184"/>
      <c r="L163" s="1184"/>
      <c r="M163" s="1184"/>
      <c r="N163" s="1184"/>
      <c r="O163" s="1184"/>
      <c r="P163" s="1185"/>
      <c r="Q163" s="1164"/>
      <c r="R163" s="952"/>
      <c r="S163" s="952"/>
      <c r="T163" s="952"/>
      <c r="U163" s="952"/>
      <c r="V163" s="952"/>
      <c r="W163" s="952"/>
      <c r="Y163" s="952"/>
      <c r="Z163" s="952"/>
      <c r="AA163" s="952"/>
      <c r="AB163" s="952"/>
    </row>
    <row r="164" spans="1:28" ht="12">
      <c r="A164" s="1162" t="s">
        <v>283</v>
      </c>
      <c r="K164" s="1187"/>
      <c r="L164" s="1226"/>
      <c r="P164" s="952"/>
      <c r="Q164" s="1164"/>
      <c r="R164" s="952"/>
      <c r="S164" s="952"/>
      <c r="T164" s="952"/>
      <c r="U164" s="952"/>
      <c r="V164" s="952"/>
      <c r="W164" s="1227"/>
      <c r="Y164" s="952"/>
      <c r="Z164" s="952"/>
      <c r="AA164" s="952"/>
      <c r="AB164" s="952"/>
    </row>
    <row r="165" spans="1:28" ht="12">
      <c r="A165" s="1162" t="s">
        <v>287</v>
      </c>
      <c r="K165" s="1187"/>
      <c r="L165" s="1228"/>
      <c r="P165" s="952"/>
      <c r="Q165" s="1164"/>
      <c r="R165" s="952"/>
      <c r="S165" s="952"/>
      <c r="T165" s="952"/>
      <c r="U165" s="952"/>
      <c r="V165" s="952"/>
      <c r="W165" s="1227"/>
      <c r="Y165" s="952"/>
      <c r="Z165" s="952"/>
      <c r="AA165" s="952"/>
      <c r="AB165" s="952"/>
    </row>
    <row r="166" spans="1:28" ht="12">
      <c r="A166" s="1162" t="s">
        <v>294</v>
      </c>
      <c r="K166" s="1187"/>
      <c r="L166" s="1187"/>
      <c r="W166" s="1227"/>
      <c r="Y166" s="952"/>
      <c r="Z166" s="952"/>
      <c r="AA166" s="952"/>
      <c r="AB166" s="952"/>
    </row>
    <row r="167" spans="1:28" ht="12">
      <c r="Y167" s="952"/>
      <c r="Z167" s="952"/>
      <c r="AA167" s="952"/>
      <c r="AB167" s="952"/>
    </row>
    <row r="168" spans="1:28" ht="12">
      <c r="Y168" s="952"/>
      <c r="Z168" s="952"/>
      <c r="AA168" s="952"/>
      <c r="AB168" s="952"/>
    </row>
  </sheetData>
  <mergeCells count="8">
    <mergeCell ref="B131:L131"/>
    <mergeCell ref="M131:W131"/>
    <mergeCell ref="B5:L5"/>
    <mergeCell ref="M5:W5"/>
    <mergeCell ref="B82:L82"/>
    <mergeCell ref="M82:W82"/>
    <mergeCell ref="B48:L48"/>
    <mergeCell ref="M48:W48"/>
  </mergeCells>
  <printOptions horizontalCentered="1"/>
  <pageMargins left="0.23622047244094491" right="0.23622047244094491" top="0.94488188976377963" bottom="0.74803149606299213" header="0.51181102362204722" footer="0.31496062992125984"/>
  <pageSetup paperSize="9" scale="70" orientation="landscape" r:id="rId1"/>
  <headerFooter alignWithMargins="0">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rowBreaks count="3" manualBreakCount="3">
    <brk id="44" max="23" man="1"/>
    <brk id="79" max="23" man="1"/>
    <brk id="128" max="23" man="1"/>
  </rowBreaks>
  <ignoredErrors>
    <ignoredError sqref="V145:V148 V9:V12 V17:V21 V24:V28 V31 V38 K32 V13:V14 V32 V71"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22">
    <tabColor theme="8" tint="-0.249977111117893"/>
  </sheetPr>
  <dimension ref="A1:V76"/>
  <sheetViews>
    <sheetView showGridLines="0" view="pageBreakPreview" topLeftCell="A10" zoomScaleNormal="100" zoomScaleSheetLayoutView="100" zoomScalePageLayoutView="90" workbookViewId="0">
      <selection activeCell="E35" sqref="E35"/>
    </sheetView>
  </sheetViews>
  <sheetFormatPr baseColWidth="10" defaultColWidth="11.42578125" defaultRowHeight="12"/>
  <cols>
    <col min="1" max="1" width="62" style="1" customWidth="1"/>
    <col min="2" max="9" width="14.7109375" style="1" customWidth="1"/>
    <col min="10" max="16384" width="11.42578125" style="1"/>
  </cols>
  <sheetData>
    <row r="1" spans="1:22" s="27" customFormat="1" ht="15.75">
      <c r="A1" s="718" t="s">
        <v>1290</v>
      </c>
      <c r="B1" s="719"/>
      <c r="C1" s="720"/>
      <c r="D1" s="720"/>
      <c r="E1" s="720"/>
      <c r="F1" s="720"/>
      <c r="G1" s="721"/>
      <c r="H1" s="722"/>
      <c r="I1" s="722"/>
      <c r="J1" s="721"/>
      <c r="K1" s="721"/>
      <c r="L1" s="721"/>
      <c r="M1" s="721"/>
      <c r="N1" s="721"/>
      <c r="O1" s="721"/>
      <c r="P1" s="721"/>
      <c r="Q1" s="721"/>
      <c r="R1" s="721"/>
      <c r="S1" s="721"/>
      <c r="T1" s="721"/>
      <c r="U1" s="721"/>
      <c r="V1" s="721"/>
    </row>
    <row r="2" spans="1:22" s="29" customFormat="1" ht="15.75">
      <c r="A2" s="723" t="s">
        <v>746</v>
      </c>
      <c r="B2" s="722"/>
      <c r="C2" s="722"/>
      <c r="D2" s="722"/>
      <c r="E2" s="722"/>
      <c r="F2" s="722"/>
      <c r="G2" s="722"/>
      <c r="H2" s="722"/>
      <c r="I2" s="722"/>
      <c r="J2" s="722"/>
      <c r="K2" s="722"/>
      <c r="L2" s="722"/>
      <c r="M2" s="722"/>
      <c r="N2" s="722"/>
      <c r="O2" s="722"/>
      <c r="P2" s="722"/>
      <c r="Q2" s="722"/>
      <c r="R2" s="722"/>
      <c r="S2" s="722"/>
      <c r="T2" s="722"/>
      <c r="U2" s="722"/>
      <c r="V2" s="722"/>
    </row>
    <row r="3" spans="1:22" s="29" customFormat="1" ht="15.75">
      <c r="A3" s="733"/>
      <c r="B3" s="732"/>
      <c r="C3" s="732"/>
      <c r="D3" s="732"/>
      <c r="E3" s="732"/>
      <c r="F3" s="732"/>
      <c r="G3" s="732"/>
      <c r="H3" s="732"/>
      <c r="I3" s="732"/>
      <c r="J3" s="732"/>
      <c r="K3" s="732"/>
      <c r="L3" s="732"/>
      <c r="M3" s="732"/>
      <c r="N3" s="732"/>
      <c r="O3" s="732"/>
      <c r="P3" s="732"/>
      <c r="Q3" s="732"/>
      <c r="R3" s="732"/>
      <c r="S3" s="732"/>
      <c r="T3" s="732"/>
      <c r="U3" s="732"/>
      <c r="V3" s="732"/>
    </row>
    <row r="4" spans="1:22" s="10" customFormat="1" ht="13.5" thickBot="1">
      <c r="A4" s="724" t="s">
        <v>1291</v>
      </c>
      <c r="B4" s="725"/>
      <c r="C4" s="717"/>
      <c r="D4" s="717"/>
      <c r="E4" s="725"/>
      <c r="F4" s="717"/>
      <c r="G4" s="717"/>
      <c r="H4" s="717"/>
      <c r="I4" s="717"/>
      <c r="J4" s="717"/>
      <c r="K4" s="717"/>
      <c r="L4" s="717"/>
      <c r="M4" s="717"/>
      <c r="N4" s="717"/>
      <c r="O4" s="717"/>
      <c r="P4" s="717"/>
      <c r="Q4" s="717"/>
      <c r="R4" s="717"/>
      <c r="S4" s="717"/>
      <c r="T4" s="717"/>
      <c r="U4" s="717"/>
      <c r="V4" s="717"/>
    </row>
    <row r="5" spans="1:22" ht="13.5" thickBot="1">
      <c r="A5" s="726" t="s">
        <v>10</v>
      </c>
      <c r="B5" s="1700" t="s">
        <v>324</v>
      </c>
      <c r="C5" s="1700"/>
      <c r="D5" s="1701" t="s">
        <v>399</v>
      </c>
      <c r="E5" s="1702"/>
      <c r="F5" s="1701" t="s">
        <v>400</v>
      </c>
      <c r="G5" s="1703"/>
      <c r="H5" s="1701" t="s">
        <v>1292</v>
      </c>
      <c r="I5" s="1703"/>
      <c r="J5" s="717"/>
      <c r="K5" s="717"/>
      <c r="L5" s="717"/>
      <c r="M5" s="717"/>
      <c r="N5" s="717"/>
      <c r="O5" s="717"/>
      <c r="P5" s="717"/>
      <c r="Q5" s="717"/>
      <c r="R5" s="717"/>
      <c r="S5" s="717"/>
      <c r="T5" s="717"/>
      <c r="U5" s="717"/>
      <c r="V5" s="717"/>
    </row>
    <row r="6" spans="1:22" s="5" customFormat="1" ht="24" customHeight="1">
      <c r="A6" s="727" t="s">
        <v>9</v>
      </c>
      <c r="B6" s="728" t="s">
        <v>143</v>
      </c>
      <c r="C6" s="729" t="s">
        <v>22</v>
      </c>
      <c r="D6" s="727" t="s">
        <v>143</v>
      </c>
      <c r="E6" s="730" t="s">
        <v>22</v>
      </c>
      <c r="F6" s="727" t="s">
        <v>143</v>
      </c>
      <c r="G6" s="730" t="s">
        <v>22</v>
      </c>
      <c r="H6" s="727" t="s">
        <v>143</v>
      </c>
      <c r="I6" s="730" t="s">
        <v>22</v>
      </c>
      <c r="J6" s="731"/>
      <c r="K6" s="731"/>
      <c r="L6" s="731"/>
      <c r="M6" s="731"/>
      <c r="N6" s="731"/>
      <c r="O6" s="731"/>
      <c r="P6" s="731"/>
      <c r="Q6" s="731"/>
      <c r="R6" s="731"/>
      <c r="S6" s="731"/>
      <c r="T6" s="731"/>
      <c r="U6" s="731"/>
      <c r="V6" s="731"/>
    </row>
    <row r="7" spans="1:22" s="744" customFormat="1" ht="18" customHeight="1">
      <c r="A7" s="738" t="s">
        <v>140</v>
      </c>
      <c r="B7" s="739">
        <v>170</v>
      </c>
      <c r="C7" s="740">
        <v>6640890</v>
      </c>
      <c r="D7" s="739">
        <v>170</v>
      </c>
      <c r="E7" s="740">
        <v>6577016</v>
      </c>
      <c r="F7" s="739">
        <v>160</v>
      </c>
      <c r="G7" s="741">
        <v>6362654</v>
      </c>
      <c r="H7" s="742">
        <f>+F7-D7</f>
        <v>-10</v>
      </c>
      <c r="I7" s="743">
        <f>+G7-E7</f>
        <v>-214362</v>
      </c>
      <c r="J7" s="735"/>
      <c r="K7" s="735"/>
      <c r="L7" s="735"/>
      <c r="M7" s="735"/>
      <c r="N7" s="735"/>
      <c r="O7" s="735"/>
      <c r="P7" s="735"/>
      <c r="Q7" s="735"/>
      <c r="R7" s="735"/>
      <c r="S7" s="735"/>
      <c r="T7" s="735"/>
      <c r="U7" s="735"/>
      <c r="V7" s="735"/>
    </row>
    <row r="8" spans="1:22" s="744" customFormat="1" ht="18" customHeight="1">
      <c r="A8" s="738" t="s">
        <v>169</v>
      </c>
      <c r="B8" s="745"/>
      <c r="C8" s="746"/>
      <c r="D8" s="745"/>
      <c r="E8" s="740"/>
      <c r="F8" s="745"/>
      <c r="G8" s="746"/>
      <c r="H8" s="742">
        <f t="shared" ref="H8:H23" si="0">+F8-D8</f>
        <v>0</v>
      </c>
      <c r="I8" s="743">
        <f t="shared" ref="I8:I23" si="1">+G8-E8</f>
        <v>0</v>
      </c>
      <c r="J8" s="735"/>
      <c r="K8" s="735"/>
      <c r="L8" s="735"/>
      <c r="M8" s="735"/>
      <c r="N8" s="735"/>
      <c r="O8" s="735"/>
      <c r="P8" s="735"/>
      <c r="Q8" s="735"/>
      <c r="R8" s="735"/>
      <c r="S8" s="735"/>
      <c r="T8" s="735"/>
      <c r="U8" s="735"/>
      <c r="V8" s="735"/>
    </row>
    <row r="9" spans="1:22" s="744" customFormat="1" ht="18" customHeight="1">
      <c r="A9" s="738" t="s">
        <v>167</v>
      </c>
      <c r="B9" s="739">
        <v>5</v>
      </c>
      <c r="C9" s="740">
        <v>756000</v>
      </c>
      <c r="D9" s="739">
        <v>5</v>
      </c>
      <c r="E9" s="740">
        <v>296640</v>
      </c>
      <c r="F9" s="745">
        <v>5</v>
      </c>
      <c r="G9" s="736">
        <v>180600</v>
      </c>
      <c r="H9" s="742">
        <f t="shared" si="0"/>
        <v>0</v>
      </c>
      <c r="I9" s="743">
        <f t="shared" si="1"/>
        <v>-116040</v>
      </c>
      <c r="J9" s="735"/>
      <c r="K9" s="735"/>
      <c r="L9" s="735"/>
      <c r="M9" s="735"/>
      <c r="N9" s="735"/>
      <c r="O9" s="735"/>
      <c r="P9" s="735"/>
      <c r="Q9" s="735"/>
      <c r="R9" s="735"/>
      <c r="S9" s="735"/>
      <c r="T9" s="735"/>
      <c r="U9" s="735"/>
      <c r="V9" s="735"/>
    </row>
    <row r="10" spans="1:22" s="744" customFormat="1" ht="18" customHeight="1">
      <c r="A10" s="747" t="s">
        <v>176</v>
      </c>
      <c r="B10" s="745"/>
      <c r="C10" s="740">
        <v>22200</v>
      </c>
      <c r="D10" s="745"/>
      <c r="E10" s="740">
        <v>26160</v>
      </c>
      <c r="F10" s="745"/>
      <c r="G10" s="748">
        <v>0</v>
      </c>
      <c r="H10" s="742">
        <f t="shared" si="0"/>
        <v>0</v>
      </c>
      <c r="I10" s="743">
        <f t="shared" si="1"/>
        <v>-26160</v>
      </c>
      <c r="J10" s="735"/>
      <c r="K10" s="735"/>
      <c r="L10" s="735"/>
      <c r="M10" s="735"/>
      <c r="N10" s="735"/>
      <c r="O10" s="735"/>
      <c r="P10" s="735"/>
      <c r="Q10" s="735"/>
      <c r="R10" s="735"/>
      <c r="S10" s="735"/>
      <c r="T10" s="735"/>
      <c r="U10" s="735"/>
      <c r="V10" s="735"/>
    </row>
    <row r="11" spans="1:22" s="744" customFormat="1" ht="18" customHeight="1">
      <c r="A11" s="738" t="s">
        <v>170</v>
      </c>
      <c r="B11" s="745"/>
      <c r="C11" s="746"/>
      <c r="D11" s="745"/>
      <c r="E11" s="740"/>
      <c r="F11" s="745"/>
      <c r="G11" s="746"/>
      <c r="H11" s="742">
        <f t="shared" si="0"/>
        <v>0</v>
      </c>
      <c r="I11" s="743">
        <f t="shared" si="1"/>
        <v>0</v>
      </c>
      <c r="J11" s="735"/>
      <c r="K11" s="735"/>
      <c r="L11" s="735"/>
      <c r="M11" s="735"/>
      <c r="N11" s="735"/>
      <c r="O11" s="735"/>
      <c r="P11" s="735"/>
      <c r="Q11" s="735"/>
      <c r="R11" s="735"/>
      <c r="S11" s="735"/>
      <c r="T11" s="735"/>
      <c r="U11" s="735"/>
      <c r="V11" s="735"/>
    </row>
    <row r="12" spans="1:22" s="744" customFormat="1" ht="18" customHeight="1">
      <c r="A12" s="747" t="s">
        <v>168</v>
      </c>
      <c r="B12" s="739">
        <v>170</v>
      </c>
      <c r="C12" s="740">
        <v>1071200</v>
      </c>
      <c r="D12" s="739">
        <v>170</v>
      </c>
      <c r="E12" s="740">
        <v>1136390</v>
      </c>
      <c r="F12" s="739">
        <v>160</v>
      </c>
      <c r="G12" s="741">
        <v>1128732</v>
      </c>
      <c r="H12" s="742">
        <f t="shared" si="0"/>
        <v>-10</v>
      </c>
      <c r="I12" s="743">
        <f t="shared" si="1"/>
        <v>-7658</v>
      </c>
      <c r="J12" s="735"/>
      <c r="K12" s="735"/>
      <c r="L12" s="735"/>
      <c r="M12" s="735"/>
      <c r="N12" s="735"/>
      <c r="O12" s="735"/>
      <c r="P12" s="735"/>
      <c r="Q12" s="735"/>
      <c r="R12" s="735"/>
      <c r="S12" s="735"/>
      <c r="T12" s="735"/>
      <c r="U12" s="735"/>
      <c r="V12" s="735"/>
    </row>
    <row r="13" spans="1:22" s="744" customFormat="1" ht="18" customHeight="1">
      <c r="A13" s="738" t="s">
        <v>175</v>
      </c>
      <c r="B13" s="745"/>
      <c r="C13" s="746"/>
      <c r="D13" s="745"/>
      <c r="E13" s="740"/>
      <c r="F13" s="745"/>
      <c r="G13" s="749"/>
      <c r="H13" s="742">
        <f t="shared" si="0"/>
        <v>0</v>
      </c>
      <c r="I13" s="743">
        <f t="shared" si="1"/>
        <v>0</v>
      </c>
      <c r="J13" s="735"/>
      <c r="K13" s="735"/>
      <c r="L13" s="735"/>
      <c r="M13" s="735"/>
      <c r="N13" s="735"/>
      <c r="O13" s="735"/>
      <c r="P13" s="735"/>
      <c r="Q13" s="735"/>
      <c r="R13" s="735"/>
      <c r="S13" s="735"/>
      <c r="T13" s="735"/>
      <c r="U13" s="735"/>
      <c r="V13" s="735"/>
    </row>
    <row r="14" spans="1:22" s="744" customFormat="1" ht="18" customHeight="1">
      <c r="A14" s="738" t="s">
        <v>24</v>
      </c>
      <c r="B14" s="745"/>
      <c r="C14" s="746"/>
      <c r="D14" s="745"/>
      <c r="E14" s="740"/>
      <c r="F14" s="745"/>
      <c r="G14" s="749"/>
      <c r="H14" s="742">
        <f t="shared" si="0"/>
        <v>0</v>
      </c>
      <c r="I14" s="743">
        <f t="shared" si="1"/>
        <v>0</v>
      </c>
      <c r="J14" s="735"/>
      <c r="K14" s="735"/>
      <c r="L14" s="735"/>
      <c r="M14" s="735"/>
      <c r="N14" s="735"/>
      <c r="O14" s="735"/>
      <c r="P14" s="735"/>
      <c r="Q14" s="735"/>
      <c r="R14" s="735"/>
      <c r="S14" s="735"/>
      <c r="T14" s="735"/>
      <c r="U14" s="735"/>
      <c r="V14" s="735"/>
    </row>
    <row r="15" spans="1:22" s="744" customFormat="1" ht="18" customHeight="1">
      <c r="A15" s="738" t="s">
        <v>172</v>
      </c>
      <c r="B15" s="745"/>
      <c r="C15" s="746"/>
      <c r="D15" s="745"/>
      <c r="E15" s="740"/>
      <c r="F15" s="745"/>
      <c r="G15" s="749"/>
      <c r="H15" s="742">
        <f t="shared" si="0"/>
        <v>0</v>
      </c>
      <c r="I15" s="743">
        <f t="shared" si="1"/>
        <v>0</v>
      </c>
      <c r="J15" s="735"/>
      <c r="K15" s="735"/>
      <c r="L15" s="735"/>
      <c r="M15" s="735"/>
      <c r="N15" s="735"/>
      <c r="O15" s="735"/>
      <c r="P15" s="735"/>
      <c r="Q15" s="735"/>
      <c r="R15" s="735"/>
      <c r="S15" s="735"/>
      <c r="T15" s="735"/>
      <c r="U15" s="735"/>
      <c r="V15" s="735"/>
    </row>
    <row r="16" spans="1:22" s="744" customFormat="1" ht="18" customHeight="1">
      <c r="A16" s="738" t="s">
        <v>23</v>
      </c>
      <c r="B16" s="739">
        <v>170</v>
      </c>
      <c r="C16" s="740">
        <v>863963</v>
      </c>
      <c r="D16" s="739">
        <v>170</v>
      </c>
      <c r="E16" s="740">
        <v>663270</v>
      </c>
      <c r="F16" s="739">
        <v>160</v>
      </c>
      <c r="G16" s="741">
        <v>735180</v>
      </c>
      <c r="H16" s="742">
        <f t="shared" si="0"/>
        <v>-10</v>
      </c>
      <c r="I16" s="743">
        <f t="shared" si="1"/>
        <v>71910</v>
      </c>
      <c r="J16" s="735"/>
      <c r="K16" s="735"/>
      <c r="L16" s="735"/>
      <c r="M16" s="735"/>
      <c r="N16" s="735"/>
      <c r="O16" s="735"/>
      <c r="P16" s="735"/>
      <c r="Q16" s="735"/>
      <c r="R16" s="735"/>
      <c r="S16" s="735"/>
      <c r="T16" s="735"/>
      <c r="U16" s="735"/>
      <c r="V16" s="735"/>
    </row>
    <row r="17" spans="1:22" s="744" customFormat="1" ht="18" customHeight="1">
      <c r="A17" s="738" t="s">
        <v>173</v>
      </c>
      <c r="B17" s="745"/>
      <c r="C17" s="746"/>
      <c r="D17" s="745"/>
      <c r="E17" s="740"/>
      <c r="F17" s="745"/>
      <c r="G17" s="746"/>
      <c r="H17" s="742">
        <f t="shared" si="0"/>
        <v>0</v>
      </c>
      <c r="I17" s="743">
        <f t="shared" si="1"/>
        <v>0</v>
      </c>
      <c r="J17" s="735"/>
      <c r="K17" s="735"/>
      <c r="L17" s="735"/>
      <c r="M17" s="735"/>
      <c r="N17" s="735"/>
      <c r="O17" s="735"/>
      <c r="P17" s="735"/>
      <c r="Q17" s="735"/>
      <c r="R17" s="735"/>
      <c r="S17" s="735"/>
      <c r="T17" s="735"/>
      <c r="U17" s="735"/>
      <c r="V17" s="735"/>
    </row>
    <row r="18" spans="1:22" s="744" customFormat="1" ht="18" customHeight="1">
      <c r="A18" s="738" t="s">
        <v>171</v>
      </c>
      <c r="B18" s="745"/>
      <c r="C18" s="746"/>
      <c r="D18" s="745"/>
      <c r="E18" s="740"/>
      <c r="F18" s="745"/>
      <c r="G18" s="746"/>
      <c r="H18" s="742">
        <f t="shared" si="0"/>
        <v>0</v>
      </c>
      <c r="I18" s="743">
        <f t="shared" si="1"/>
        <v>0</v>
      </c>
    </row>
    <row r="19" spans="1:22" s="744" customFormat="1" ht="18" customHeight="1">
      <c r="A19" s="738" t="s">
        <v>174</v>
      </c>
      <c r="B19" s="745"/>
      <c r="C19" s="746"/>
      <c r="D19" s="745"/>
      <c r="E19" s="740"/>
      <c r="F19" s="745"/>
      <c r="G19" s="746"/>
      <c r="H19" s="742">
        <f t="shared" si="0"/>
        <v>0</v>
      </c>
      <c r="I19" s="743">
        <f t="shared" si="1"/>
        <v>0</v>
      </c>
    </row>
    <row r="20" spans="1:22" s="744" customFormat="1" ht="18" customHeight="1">
      <c r="A20" s="738" t="s">
        <v>31</v>
      </c>
      <c r="B20" s="739">
        <v>113</v>
      </c>
      <c r="C20" s="740">
        <v>6553057</v>
      </c>
      <c r="D20" s="739">
        <v>113</v>
      </c>
      <c r="E20" s="740">
        <v>6318826</v>
      </c>
      <c r="F20" s="739">
        <v>103</v>
      </c>
      <c r="G20" s="737">
        <v>6223204</v>
      </c>
      <c r="H20" s="742">
        <f t="shared" si="0"/>
        <v>-10</v>
      </c>
      <c r="I20" s="743">
        <f t="shared" si="1"/>
        <v>-95622</v>
      </c>
    </row>
    <row r="21" spans="1:22" s="744" customFormat="1" ht="18" customHeight="1">
      <c r="A21" s="738" t="s">
        <v>166</v>
      </c>
      <c r="B21" s="745"/>
      <c r="C21" s="740">
        <v>400000</v>
      </c>
      <c r="D21" s="745"/>
      <c r="E21" s="740">
        <v>0</v>
      </c>
      <c r="F21" s="745"/>
      <c r="G21" s="737">
        <v>327589</v>
      </c>
      <c r="H21" s="742">
        <f t="shared" si="0"/>
        <v>0</v>
      </c>
      <c r="I21" s="743">
        <f t="shared" si="1"/>
        <v>327589</v>
      </c>
    </row>
    <row r="22" spans="1:22" s="744" customFormat="1" ht="18" customHeight="1">
      <c r="A22" s="738" t="s">
        <v>55</v>
      </c>
      <c r="B22" s="745"/>
      <c r="C22" s="740">
        <v>266292</v>
      </c>
      <c r="D22" s="745"/>
      <c r="E22" s="740">
        <v>1082601</v>
      </c>
      <c r="F22" s="745"/>
      <c r="G22" s="750">
        <v>1383001</v>
      </c>
      <c r="H22" s="742">
        <f t="shared" si="0"/>
        <v>0</v>
      </c>
      <c r="I22" s="743">
        <f t="shared" si="1"/>
        <v>300400</v>
      </c>
    </row>
    <row r="23" spans="1:22" s="744" customFormat="1" ht="18" customHeight="1" thickBot="1">
      <c r="A23" s="747" t="s">
        <v>1293</v>
      </c>
      <c r="B23" s="751">
        <v>5</v>
      </c>
      <c r="C23" s="752">
        <v>991810</v>
      </c>
      <c r="D23" s="751">
        <v>5</v>
      </c>
      <c r="E23" s="740">
        <v>806188</v>
      </c>
      <c r="F23" s="753">
        <v>5</v>
      </c>
      <c r="G23" s="736">
        <v>659188</v>
      </c>
      <c r="H23" s="742">
        <f t="shared" si="0"/>
        <v>0</v>
      </c>
      <c r="I23" s="743">
        <f t="shared" si="1"/>
        <v>-147000</v>
      </c>
    </row>
    <row r="24" spans="1:22" s="744" customFormat="1" ht="18" customHeight="1" thickBot="1">
      <c r="A24" s="754" t="s">
        <v>54</v>
      </c>
      <c r="B24" s="755"/>
      <c r="C24" s="756">
        <f>SUM(C7:C23)</f>
        <v>17565412</v>
      </c>
      <c r="D24" s="757"/>
      <c r="E24" s="756">
        <f>SUM(E7:E23)</f>
        <v>16907091</v>
      </c>
      <c r="F24" s="757"/>
      <c r="G24" s="756">
        <f>SUM(G7:G23)</f>
        <v>17000148</v>
      </c>
      <c r="H24" s="758"/>
      <c r="I24" s="756">
        <f>SUM(I7:I23)</f>
        <v>93057</v>
      </c>
    </row>
    <row r="25" spans="1:22" s="744" customFormat="1" ht="12.75">
      <c r="A25" s="759" t="s">
        <v>325</v>
      </c>
      <c r="B25" s="760"/>
      <c r="C25" s="760"/>
      <c r="D25" s="760"/>
      <c r="E25" s="760"/>
      <c r="F25" s="760"/>
      <c r="G25" s="760"/>
      <c r="H25" s="760"/>
      <c r="I25" s="760"/>
    </row>
    <row r="26" spans="1:22" s="744" customFormat="1" ht="12.75">
      <c r="A26" s="759" t="s">
        <v>94</v>
      </c>
      <c r="B26" s="760"/>
      <c r="C26" s="760"/>
      <c r="D26" s="760"/>
      <c r="E26" s="760"/>
      <c r="F26" s="760"/>
      <c r="G26" s="736"/>
      <c r="H26" s="760"/>
      <c r="I26" s="760"/>
    </row>
    <row r="30" spans="1:22" s="763" customFormat="1" ht="13.5" thickBot="1">
      <c r="A30" s="761" t="s">
        <v>549</v>
      </c>
      <c r="B30" s="762"/>
      <c r="C30" s="734"/>
      <c r="D30" s="734"/>
      <c r="E30" s="762"/>
      <c r="F30" s="734"/>
      <c r="G30" s="734"/>
      <c r="H30" s="734"/>
      <c r="I30" s="734"/>
    </row>
    <row r="31" spans="1:22" s="763" customFormat="1" ht="13.5" thickBot="1">
      <c r="A31" s="764" t="s">
        <v>10</v>
      </c>
      <c r="B31" s="1704" t="s">
        <v>324</v>
      </c>
      <c r="C31" s="1704"/>
      <c r="D31" s="1705" t="s">
        <v>399</v>
      </c>
      <c r="E31" s="1706"/>
      <c r="F31" s="1705" t="s">
        <v>400</v>
      </c>
      <c r="G31" s="1707"/>
      <c r="H31" s="1705" t="s">
        <v>1292</v>
      </c>
      <c r="I31" s="1707"/>
    </row>
    <row r="32" spans="1:22" s="763" customFormat="1" ht="25.5">
      <c r="A32" s="765" t="s">
        <v>9</v>
      </c>
      <c r="B32" s="766" t="s">
        <v>143</v>
      </c>
      <c r="C32" s="767" t="s">
        <v>22</v>
      </c>
      <c r="D32" s="765" t="s">
        <v>143</v>
      </c>
      <c r="E32" s="768" t="s">
        <v>22</v>
      </c>
      <c r="F32" s="765" t="s">
        <v>143</v>
      </c>
      <c r="G32" s="768" t="s">
        <v>22</v>
      </c>
      <c r="H32" s="765" t="s">
        <v>143</v>
      </c>
      <c r="I32" s="768" t="s">
        <v>22</v>
      </c>
    </row>
    <row r="33" spans="1:9" s="763" customFormat="1" ht="18" customHeight="1">
      <c r="A33" s="769" t="s">
        <v>140</v>
      </c>
      <c r="B33" s="770">
        <v>234</v>
      </c>
      <c r="C33" s="771">
        <v>15460160</v>
      </c>
      <c r="D33" s="770">
        <v>234</v>
      </c>
      <c r="E33" s="771">
        <v>15560532</v>
      </c>
      <c r="F33" s="770">
        <v>236</v>
      </c>
      <c r="G33" s="771">
        <v>15560532</v>
      </c>
      <c r="H33" s="772">
        <f t="shared" ref="H33:H48" si="2">+F33-D33</f>
        <v>2</v>
      </c>
      <c r="I33" s="773">
        <f t="shared" ref="I33:I48" si="3">+G33-E33</f>
        <v>0</v>
      </c>
    </row>
    <row r="34" spans="1:9" s="763" customFormat="1" ht="18" customHeight="1">
      <c r="A34" s="769" t="s">
        <v>169</v>
      </c>
      <c r="B34" s="770"/>
      <c r="C34" s="771"/>
      <c r="D34" s="770"/>
      <c r="E34" s="771"/>
      <c r="F34" s="770"/>
      <c r="G34" s="771"/>
      <c r="H34" s="772">
        <f t="shared" si="2"/>
        <v>0</v>
      </c>
      <c r="I34" s="773">
        <f t="shared" si="3"/>
        <v>0</v>
      </c>
    </row>
    <row r="35" spans="1:9" s="763" customFormat="1" ht="18" customHeight="1">
      <c r="A35" s="769" t="s">
        <v>167</v>
      </c>
      <c r="B35" s="770"/>
      <c r="C35" s="771"/>
      <c r="D35" s="770"/>
      <c r="E35" s="771"/>
      <c r="F35" s="770"/>
      <c r="G35" s="771"/>
      <c r="H35" s="772">
        <f t="shared" si="2"/>
        <v>0</v>
      </c>
      <c r="I35" s="773">
        <f t="shared" si="3"/>
        <v>0</v>
      </c>
    </row>
    <row r="36" spans="1:9" s="763" customFormat="1" ht="18" customHeight="1">
      <c r="A36" s="774" t="s">
        <v>176</v>
      </c>
      <c r="B36" s="770"/>
      <c r="C36" s="771"/>
      <c r="D36" s="770"/>
      <c r="E36" s="771"/>
      <c r="F36" s="770"/>
      <c r="G36" s="771"/>
      <c r="H36" s="772">
        <f t="shared" si="2"/>
        <v>0</v>
      </c>
      <c r="I36" s="773">
        <f t="shared" si="3"/>
        <v>0</v>
      </c>
    </row>
    <row r="37" spans="1:9" s="763" customFormat="1" ht="18" customHeight="1">
      <c r="A37" s="769" t="s">
        <v>170</v>
      </c>
      <c r="B37" s="770"/>
      <c r="C37" s="771"/>
      <c r="D37" s="770"/>
      <c r="E37" s="771"/>
      <c r="F37" s="770"/>
      <c r="G37" s="771"/>
      <c r="H37" s="772">
        <f t="shared" si="2"/>
        <v>0</v>
      </c>
      <c r="I37" s="773">
        <f t="shared" si="3"/>
        <v>0</v>
      </c>
    </row>
    <row r="38" spans="1:9" s="763" customFormat="1" ht="18" customHeight="1">
      <c r="A38" s="774" t="s">
        <v>168</v>
      </c>
      <c r="B38" s="770">
        <v>234</v>
      </c>
      <c r="C38" s="771">
        <v>2676580</v>
      </c>
      <c r="D38" s="770">
        <v>234</v>
      </c>
      <c r="E38" s="771">
        <v>2687022</v>
      </c>
      <c r="F38" s="770">
        <v>236</v>
      </c>
      <c r="G38" s="771">
        <v>2687022</v>
      </c>
      <c r="H38" s="772">
        <f t="shared" si="2"/>
        <v>2</v>
      </c>
      <c r="I38" s="773">
        <f t="shared" si="3"/>
        <v>0</v>
      </c>
    </row>
    <row r="39" spans="1:9" s="763" customFormat="1" ht="18" customHeight="1">
      <c r="A39" s="769" t="s">
        <v>175</v>
      </c>
      <c r="B39" s="770"/>
      <c r="C39" s="771"/>
      <c r="D39" s="770"/>
      <c r="E39" s="771"/>
      <c r="F39" s="770"/>
      <c r="G39" s="771"/>
      <c r="H39" s="772">
        <f t="shared" si="2"/>
        <v>0</v>
      </c>
      <c r="I39" s="773">
        <f t="shared" si="3"/>
        <v>0</v>
      </c>
    </row>
    <row r="40" spans="1:9" s="763" customFormat="1" ht="18" customHeight="1">
      <c r="A40" s="769" t="s">
        <v>24</v>
      </c>
      <c r="B40" s="770">
        <v>234</v>
      </c>
      <c r="C40" s="771">
        <v>267830</v>
      </c>
      <c r="D40" s="770">
        <v>234</v>
      </c>
      <c r="E40" s="771">
        <v>149099</v>
      </c>
      <c r="F40" s="770">
        <v>236</v>
      </c>
      <c r="G40" s="771">
        <v>149099</v>
      </c>
      <c r="H40" s="772">
        <f t="shared" si="2"/>
        <v>2</v>
      </c>
      <c r="I40" s="773">
        <f t="shared" si="3"/>
        <v>0</v>
      </c>
    </row>
    <row r="41" spans="1:9" s="763" customFormat="1" ht="18" customHeight="1">
      <c r="A41" s="769" t="s">
        <v>172</v>
      </c>
      <c r="B41" s="770"/>
      <c r="C41" s="771"/>
      <c r="D41" s="770"/>
      <c r="E41" s="771"/>
      <c r="F41" s="770"/>
      <c r="G41" s="771"/>
      <c r="H41" s="772">
        <f t="shared" si="2"/>
        <v>0</v>
      </c>
      <c r="I41" s="773">
        <f t="shared" si="3"/>
        <v>0</v>
      </c>
    </row>
    <row r="42" spans="1:9" s="763" customFormat="1" ht="18" customHeight="1">
      <c r="A42" s="769" t="s">
        <v>23</v>
      </c>
      <c r="B42" s="770">
        <v>234</v>
      </c>
      <c r="C42" s="771">
        <v>1444379</v>
      </c>
      <c r="D42" s="770">
        <v>234</v>
      </c>
      <c r="E42" s="771">
        <v>1365034</v>
      </c>
      <c r="F42" s="770">
        <v>236</v>
      </c>
      <c r="G42" s="771">
        <v>1365034</v>
      </c>
      <c r="H42" s="772">
        <f t="shared" si="2"/>
        <v>2</v>
      </c>
      <c r="I42" s="773">
        <f t="shared" si="3"/>
        <v>0</v>
      </c>
    </row>
    <row r="43" spans="1:9" s="763" customFormat="1" ht="18" customHeight="1">
      <c r="A43" s="769" t="s">
        <v>173</v>
      </c>
      <c r="B43" s="770"/>
      <c r="C43" s="771"/>
      <c r="D43" s="770"/>
      <c r="E43" s="771"/>
      <c r="F43" s="770"/>
      <c r="G43" s="771"/>
      <c r="H43" s="772">
        <f t="shared" si="2"/>
        <v>0</v>
      </c>
      <c r="I43" s="773">
        <f t="shared" si="3"/>
        <v>0</v>
      </c>
    </row>
    <row r="44" spans="1:9" s="763" customFormat="1" ht="18" customHeight="1">
      <c r="A44" s="769" t="s">
        <v>171</v>
      </c>
      <c r="B44" s="770"/>
      <c r="C44" s="771"/>
      <c r="D44" s="770"/>
      <c r="E44" s="771"/>
      <c r="F44" s="770"/>
      <c r="G44" s="771"/>
      <c r="H44" s="772">
        <f t="shared" si="2"/>
        <v>0</v>
      </c>
      <c r="I44" s="773">
        <f t="shared" si="3"/>
        <v>0</v>
      </c>
    </row>
    <row r="45" spans="1:9" s="763" customFormat="1" ht="18" customHeight="1">
      <c r="A45" s="769" t="s">
        <v>1294</v>
      </c>
      <c r="B45" s="770">
        <v>234</v>
      </c>
      <c r="C45" s="771">
        <v>363593</v>
      </c>
      <c r="D45" s="770">
        <v>234</v>
      </c>
      <c r="E45" s="771">
        <v>480013</v>
      </c>
      <c r="F45" s="770">
        <v>236</v>
      </c>
      <c r="G45" s="771">
        <v>480013</v>
      </c>
      <c r="H45" s="772">
        <f t="shared" si="2"/>
        <v>2</v>
      </c>
      <c r="I45" s="773">
        <f t="shared" si="3"/>
        <v>0</v>
      </c>
    </row>
    <row r="46" spans="1:9" s="763" customFormat="1" ht="18" customHeight="1">
      <c r="A46" s="769" t="s">
        <v>31</v>
      </c>
      <c r="B46" s="770"/>
      <c r="C46" s="771"/>
      <c r="D46" s="770"/>
      <c r="E46" s="771"/>
      <c r="F46" s="770"/>
      <c r="G46" s="771"/>
      <c r="H46" s="772">
        <f t="shared" si="2"/>
        <v>0</v>
      </c>
      <c r="I46" s="773">
        <f t="shared" si="3"/>
        <v>0</v>
      </c>
    </row>
    <row r="47" spans="1:9" s="763" customFormat="1" ht="18" customHeight="1">
      <c r="A47" s="769" t="s">
        <v>166</v>
      </c>
      <c r="B47" s="770"/>
      <c r="C47" s="771"/>
      <c r="D47" s="770"/>
      <c r="E47" s="771"/>
      <c r="F47" s="770"/>
      <c r="G47" s="771"/>
      <c r="H47" s="772">
        <f t="shared" si="2"/>
        <v>0</v>
      </c>
      <c r="I47" s="773">
        <f t="shared" si="3"/>
        <v>0</v>
      </c>
    </row>
    <row r="48" spans="1:9" s="763" customFormat="1" ht="18" customHeight="1" thickBot="1">
      <c r="A48" s="769" t="s">
        <v>1295</v>
      </c>
      <c r="B48" s="770">
        <v>234</v>
      </c>
      <c r="C48" s="771">
        <v>2099435</v>
      </c>
      <c r="D48" s="770">
        <v>234</v>
      </c>
      <c r="E48" s="771">
        <v>2070283</v>
      </c>
      <c r="F48" s="770">
        <v>236</v>
      </c>
      <c r="G48" s="771">
        <v>2070284</v>
      </c>
      <c r="H48" s="772">
        <f t="shared" si="2"/>
        <v>2</v>
      </c>
      <c r="I48" s="773">
        <f t="shared" si="3"/>
        <v>1</v>
      </c>
    </row>
    <row r="49" spans="1:22" s="763" customFormat="1" ht="18" customHeight="1" thickBot="1">
      <c r="A49" s="775" t="s">
        <v>54</v>
      </c>
      <c r="B49" s="776"/>
      <c r="C49" s="777">
        <f>SUM(C33:C48)</f>
        <v>22311977</v>
      </c>
      <c r="D49" s="778"/>
      <c r="E49" s="777">
        <f>SUM(E33:E48)</f>
        <v>22311983</v>
      </c>
      <c r="F49" s="778"/>
      <c r="G49" s="777">
        <f>SUM(G33:G48)</f>
        <v>22311984</v>
      </c>
      <c r="H49" s="779"/>
      <c r="I49" s="780">
        <v>1</v>
      </c>
    </row>
    <row r="50" spans="1:22" s="763" customFormat="1" ht="12.75">
      <c r="A50" s="781" t="s">
        <v>325</v>
      </c>
      <c r="B50" s="782"/>
      <c r="C50" s="782"/>
      <c r="D50" s="782"/>
      <c r="E50" s="782"/>
      <c r="F50" s="782"/>
      <c r="G50" s="782"/>
      <c r="H50" s="782"/>
      <c r="I50" s="782"/>
    </row>
    <row r="51" spans="1:22" s="763" customFormat="1" ht="12.75">
      <c r="A51" s="781" t="s">
        <v>94</v>
      </c>
      <c r="B51" s="782"/>
      <c r="C51" s="782"/>
      <c r="D51" s="782"/>
      <c r="E51" s="782"/>
      <c r="F51" s="782"/>
      <c r="G51" s="782"/>
      <c r="H51" s="782"/>
      <c r="I51" s="782"/>
    </row>
    <row r="55" spans="1:22" ht="13.5" thickBot="1">
      <c r="A55" s="791" t="s">
        <v>563</v>
      </c>
      <c r="B55" s="785"/>
      <c r="C55" s="783"/>
      <c r="D55" s="783"/>
      <c r="E55" s="785"/>
      <c r="F55" s="783"/>
      <c r="G55" s="783"/>
      <c r="H55" s="783"/>
      <c r="I55" s="783"/>
      <c r="J55" s="24"/>
      <c r="K55" s="24"/>
      <c r="L55" s="24"/>
      <c r="M55" s="24"/>
      <c r="N55" s="24"/>
      <c r="O55" s="24"/>
      <c r="P55" s="24"/>
      <c r="Q55" s="24"/>
      <c r="R55" s="24"/>
      <c r="S55" s="24"/>
      <c r="T55" s="24"/>
      <c r="U55" s="24"/>
      <c r="V55" s="24"/>
    </row>
    <row r="56" spans="1:22" ht="12.75" thickBot="1">
      <c r="A56" s="786" t="s">
        <v>10</v>
      </c>
      <c r="B56" s="1700" t="s">
        <v>324</v>
      </c>
      <c r="C56" s="1700"/>
      <c r="D56" s="1701" t="s">
        <v>399</v>
      </c>
      <c r="E56" s="1702"/>
      <c r="F56" s="1701" t="s">
        <v>400</v>
      </c>
      <c r="G56" s="1703"/>
      <c r="H56" s="1701" t="s">
        <v>1292</v>
      </c>
      <c r="I56" s="1703"/>
      <c r="J56" s="24"/>
      <c r="K56" s="24"/>
      <c r="L56" s="24"/>
      <c r="M56" s="24"/>
      <c r="N56" s="24"/>
      <c r="O56" s="24"/>
      <c r="P56" s="24"/>
      <c r="Q56" s="24"/>
      <c r="R56" s="24"/>
      <c r="S56" s="24"/>
      <c r="T56" s="24"/>
      <c r="U56" s="24"/>
      <c r="V56" s="24"/>
    </row>
    <row r="57" spans="1:22" ht="24">
      <c r="A57" s="787" t="s">
        <v>9</v>
      </c>
      <c r="B57" s="788" t="s">
        <v>143</v>
      </c>
      <c r="C57" s="789" t="s">
        <v>22</v>
      </c>
      <c r="D57" s="787" t="s">
        <v>143</v>
      </c>
      <c r="E57" s="790" t="s">
        <v>22</v>
      </c>
      <c r="F57" s="787" t="s">
        <v>143</v>
      </c>
      <c r="G57" s="790" t="s">
        <v>22</v>
      </c>
      <c r="H57" s="787" t="s">
        <v>143</v>
      </c>
      <c r="I57" s="790" t="s">
        <v>22</v>
      </c>
      <c r="J57" s="24"/>
      <c r="K57" s="24"/>
      <c r="L57" s="24"/>
      <c r="M57" s="24"/>
      <c r="N57" s="24"/>
      <c r="O57" s="24"/>
      <c r="P57" s="24"/>
      <c r="Q57" s="24"/>
      <c r="R57" s="24"/>
      <c r="S57" s="24"/>
      <c r="T57" s="24"/>
      <c r="U57" s="24"/>
      <c r="V57" s="24"/>
    </row>
    <row r="58" spans="1:22" s="763" customFormat="1" ht="18" customHeight="1">
      <c r="A58" s="769" t="s">
        <v>140</v>
      </c>
      <c r="B58" s="792">
        <v>119</v>
      </c>
      <c r="C58" s="793">
        <v>8882912</v>
      </c>
      <c r="D58" s="770">
        <v>122</v>
      </c>
      <c r="E58" s="794">
        <v>8328693</v>
      </c>
      <c r="F58" s="770">
        <v>122</v>
      </c>
      <c r="G58" s="794">
        <v>8585830</v>
      </c>
      <c r="H58" s="772">
        <f t="shared" ref="H58" si="4">+F58-D58</f>
        <v>0</v>
      </c>
      <c r="I58" s="773">
        <f t="shared" ref="I58" si="5">+G58-E58</f>
        <v>257137</v>
      </c>
    </row>
    <row r="59" spans="1:22" s="763" customFormat="1" ht="18" customHeight="1">
      <c r="A59" s="769" t="s">
        <v>169</v>
      </c>
      <c r="B59" s="792"/>
      <c r="C59" s="793"/>
      <c r="D59" s="770"/>
      <c r="E59" s="794"/>
      <c r="F59" s="770"/>
      <c r="G59" s="794"/>
      <c r="H59" s="772">
        <f t="shared" ref="H59:H73" si="6">+F59-D59</f>
        <v>0</v>
      </c>
      <c r="I59" s="773">
        <f t="shared" ref="I59:I73" si="7">+G59-E59</f>
        <v>0</v>
      </c>
    </row>
    <row r="60" spans="1:22" s="763" customFormat="1" ht="18" customHeight="1">
      <c r="A60" s="769" t="s">
        <v>167</v>
      </c>
      <c r="B60" s="792"/>
      <c r="C60" s="793"/>
      <c r="D60" s="770"/>
      <c r="E60" s="794"/>
      <c r="F60" s="770"/>
      <c r="G60" s="794"/>
      <c r="H60" s="772">
        <f t="shared" si="6"/>
        <v>0</v>
      </c>
      <c r="I60" s="773">
        <f t="shared" si="7"/>
        <v>0</v>
      </c>
    </row>
    <row r="61" spans="1:22" s="763" customFormat="1" ht="18" customHeight="1">
      <c r="A61" s="774" t="s">
        <v>176</v>
      </c>
      <c r="B61" s="792"/>
      <c r="C61" s="793"/>
      <c r="D61" s="770"/>
      <c r="E61" s="794"/>
      <c r="F61" s="770"/>
      <c r="G61" s="794"/>
      <c r="H61" s="772">
        <f t="shared" si="6"/>
        <v>0</v>
      </c>
      <c r="I61" s="773">
        <f t="shared" si="7"/>
        <v>0</v>
      </c>
    </row>
    <row r="62" spans="1:22" s="763" customFormat="1" ht="18" customHeight="1">
      <c r="A62" s="769" t="s">
        <v>170</v>
      </c>
      <c r="B62" s="792">
        <v>3</v>
      </c>
      <c r="C62" s="793">
        <v>54000</v>
      </c>
      <c r="D62" s="770">
        <v>3</v>
      </c>
      <c r="E62" s="794">
        <v>39240</v>
      </c>
      <c r="F62" s="770">
        <v>3</v>
      </c>
      <c r="G62" s="794">
        <v>39240</v>
      </c>
      <c r="H62" s="772">
        <f t="shared" si="6"/>
        <v>0</v>
      </c>
      <c r="I62" s="773">
        <f t="shared" si="7"/>
        <v>0</v>
      </c>
    </row>
    <row r="63" spans="1:22" s="763" customFormat="1" ht="18" customHeight="1">
      <c r="A63" s="774" t="s">
        <v>168</v>
      </c>
      <c r="B63" s="792">
        <v>119</v>
      </c>
      <c r="C63" s="793">
        <v>1738511</v>
      </c>
      <c r="D63" s="770">
        <v>122</v>
      </c>
      <c r="E63" s="794">
        <v>1233824</v>
      </c>
      <c r="F63" s="770">
        <v>122</v>
      </c>
      <c r="G63" s="794">
        <v>1380807</v>
      </c>
      <c r="H63" s="772">
        <f t="shared" si="6"/>
        <v>0</v>
      </c>
      <c r="I63" s="773">
        <f t="shared" si="7"/>
        <v>146983</v>
      </c>
    </row>
    <row r="64" spans="1:22" s="763" customFormat="1" ht="18" customHeight="1">
      <c r="A64" s="769" t="s">
        <v>175</v>
      </c>
      <c r="B64" s="792"/>
      <c r="C64" s="793"/>
      <c r="D64" s="770"/>
      <c r="E64" s="794"/>
      <c r="F64" s="770"/>
      <c r="G64" s="794"/>
      <c r="H64" s="772">
        <f t="shared" si="6"/>
        <v>0</v>
      </c>
      <c r="I64" s="773">
        <f t="shared" si="7"/>
        <v>0</v>
      </c>
    </row>
    <row r="65" spans="1:9" s="763" customFormat="1" ht="18" customHeight="1">
      <c r="A65" s="769" t="s">
        <v>24</v>
      </c>
      <c r="B65" s="792">
        <v>119</v>
      </c>
      <c r="C65" s="793">
        <v>894732</v>
      </c>
      <c r="D65" s="770">
        <v>122</v>
      </c>
      <c r="E65" s="794">
        <v>2071532</v>
      </c>
      <c r="F65" s="770">
        <v>122</v>
      </c>
      <c r="G65" s="794">
        <v>1661797</v>
      </c>
      <c r="H65" s="772">
        <f t="shared" si="6"/>
        <v>0</v>
      </c>
      <c r="I65" s="773">
        <f t="shared" si="7"/>
        <v>-409735</v>
      </c>
    </row>
    <row r="66" spans="1:9" s="763" customFormat="1" ht="18" customHeight="1">
      <c r="A66" s="769" t="s">
        <v>172</v>
      </c>
      <c r="B66" s="792"/>
      <c r="C66" s="793"/>
      <c r="D66" s="770"/>
      <c r="E66" s="794"/>
      <c r="F66" s="770"/>
      <c r="G66" s="794"/>
      <c r="H66" s="772">
        <f t="shared" si="6"/>
        <v>0</v>
      </c>
      <c r="I66" s="773">
        <f t="shared" si="7"/>
        <v>0</v>
      </c>
    </row>
    <row r="67" spans="1:9" s="763" customFormat="1" ht="18" customHeight="1">
      <c r="A67" s="769" t="s">
        <v>23</v>
      </c>
      <c r="B67" s="792">
        <v>119</v>
      </c>
      <c r="C67" s="793">
        <v>978717</v>
      </c>
      <c r="D67" s="770">
        <v>122</v>
      </c>
      <c r="E67" s="794">
        <v>875595</v>
      </c>
      <c r="F67" s="770">
        <v>122</v>
      </c>
      <c r="G67" s="794">
        <v>881213</v>
      </c>
      <c r="H67" s="772">
        <f t="shared" si="6"/>
        <v>0</v>
      </c>
      <c r="I67" s="773">
        <f t="shared" si="7"/>
        <v>5618</v>
      </c>
    </row>
    <row r="68" spans="1:9" s="763" customFormat="1" ht="18" customHeight="1">
      <c r="A68" s="769" t="s">
        <v>173</v>
      </c>
      <c r="B68" s="795"/>
      <c r="C68" s="796"/>
      <c r="D68" s="797"/>
      <c r="E68" s="798"/>
      <c r="F68" s="797"/>
      <c r="G68" s="798"/>
      <c r="H68" s="772">
        <f t="shared" si="6"/>
        <v>0</v>
      </c>
      <c r="I68" s="773">
        <f t="shared" si="7"/>
        <v>0</v>
      </c>
    </row>
    <row r="69" spans="1:9" s="763" customFormat="1" ht="18" customHeight="1">
      <c r="A69" s="769" t="s">
        <v>171</v>
      </c>
      <c r="B69" s="795"/>
      <c r="C69" s="796"/>
      <c r="D69" s="797"/>
      <c r="E69" s="798"/>
      <c r="F69" s="797"/>
      <c r="G69" s="798"/>
      <c r="H69" s="772">
        <f t="shared" si="6"/>
        <v>0</v>
      </c>
      <c r="I69" s="773">
        <f t="shared" si="7"/>
        <v>0</v>
      </c>
    </row>
    <row r="70" spans="1:9" s="763" customFormat="1" ht="18" customHeight="1">
      <c r="A70" s="769" t="s">
        <v>174</v>
      </c>
      <c r="B70" s="795"/>
      <c r="C70" s="796"/>
      <c r="D70" s="797"/>
      <c r="E70" s="798"/>
      <c r="F70" s="797"/>
      <c r="G70" s="798"/>
      <c r="H70" s="772">
        <f t="shared" si="6"/>
        <v>0</v>
      </c>
      <c r="I70" s="773">
        <f t="shared" si="7"/>
        <v>0</v>
      </c>
    </row>
    <row r="71" spans="1:9" s="763" customFormat="1" ht="18" customHeight="1">
      <c r="A71" s="769" t="s">
        <v>31</v>
      </c>
      <c r="B71" s="795"/>
      <c r="C71" s="796"/>
      <c r="D71" s="797"/>
      <c r="E71" s="798"/>
      <c r="F71" s="797"/>
      <c r="G71" s="798"/>
      <c r="H71" s="772">
        <f t="shared" si="6"/>
        <v>0</v>
      </c>
      <c r="I71" s="773">
        <f t="shared" si="7"/>
        <v>0</v>
      </c>
    </row>
    <row r="72" spans="1:9" s="763" customFormat="1" ht="18" customHeight="1">
      <c r="A72" s="769" t="s">
        <v>166</v>
      </c>
      <c r="B72" s="795"/>
      <c r="C72" s="796"/>
      <c r="D72" s="797"/>
      <c r="E72" s="798"/>
      <c r="F72" s="797"/>
      <c r="G72" s="799"/>
      <c r="H72" s="772">
        <f t="shared" si="6"/>
        <v>0</v>
      </c>
      <c r="I72" s="773">
        <f t="shared" si="7"/>
        <v>0</v>
      </c>
    </row>
    <row r="73" spans="1:9" s="763" customFormat="1" ht="18" customHeight="1" thickBot="1">
      <c r="A73" s="769" t="s">
        <v>55</v>
      </c>
      <c r="B73" s="795"/>
      <c r="C73" s="796"/>
      <c r="D73" s="797"/>
      <c r="E73" s="798"/>
      <c r="F73" s="797"/>
      <c r="G73" s="799"/>
      <c r="H73" s="772">
        <f t="shared" si="6"/>
        <v>0</v>
      </c>
      <c r="I73" s="773">
        <f t="shared" si="7"/>
        <v>0</v>
      </c>
    </row>
    <row r="74" spans="1:9" s="763" customFormat="1" ht="18" customHeight="1" thickBot="1">
      <c r="A74" s="775" t="s">
        <v>54</v>
      </c>
      <c r="B74" s="776"/>
      <c r="C74" s="800">
        <f>SUM(C58:C73)</f>
        <v>12548872</v>
      </c>
      <c r="D74" s="800"/>
      <c r="E74" s="800">
        <f>SUM(E58:E73)</f>
        <v>12548884</v>
      </c>
      <c r="F74" s="800"/>
      <c r="G74" s="800">
        <f>SUM(G58:G73)</f>
        <v>12548887</v>
      </c>
      <c r="H74" s="801">
        <v>0</v>
      </c>
      <c r="I74" s="800">
        <v>3</v>
      </c>
    </row>
    <row r="75" spans="1:9" s="763" customFormat="1" ht="12.75">
      <c r="A75" s="781" t="s">
        <v>325</v>
      </c>
      <c r="B75" s="782"/>
      <c r="C75" s="782"/>
      <c r="D75" s="782"/>
      <c r="E75" s="782"/>
      <c r="F75" s="782"/>
      <c r="G75" s="782"/>
      <c r="H75" s="782"/>
      <c r="I75" s="782"/>
    </row>
    <row r="76" spans="1:9" s="763" customFormat="1" ht="12.75">
      <c r="A76" s="781" t="s">
        <v>94</v>
      </c>
      <c r="B76" s="782"/>
      <c r="C76" s="782"/>
      <c r="D76" s="782"/>
      <c r="E76" s="782"/>
      <c r="F76" s="782"/>
      <c r="G76" s="782"/>
      <c r="H76" s="782"/>
      <c r="I76" s="782"/>
    </row>
  </sheetData>
  <sortState xmlns:xlrd2="http://schemas.microsoft.com/office/spreadsheetml/2017/richdata2" ref="A10:A25">
    <sortCondition ref="A10:A25"/>
  </sortState>
  <mergeCells count="12">
    <mergeCell ref="B56:C56"/>
    <mergeCell ref="D56:E56"/>
    <mergeCell ref="F56:G56"/>
    <mergeCell ref="H56:I56"/>
    <mergeCell ref="B5:C5"/>
    <mergeCell ref="D5:E5"/>
    <mergeCell ref="F5:G5"/>
    <mergeCell ref="H5:I5"/>
    <mergeCell ref="B31:C31"/>
    <mergeCell ref="D31:E31"/>
    <mergeCell ref="F31:G31"/>
    <mergeCell ref="H31:I31"/>
  </mergeCells>
  <phoneticPr fontId="0" type="noConversion"/>
  <printOptions horizontalCentered="1"/>
  <pageMargins left="0.23622047244094491" right="0.23622047244094491" top="0.94488188976377963" bottom="0.74803149606299213" header="0.51181102362204722" footer="0.31496062992125984"/>
  <pageSetup paperSize="9" scale="75"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rowBreaks count="2" manualBreakCount="2">
    <brk id="28" max="8" man="1"/>
    <brk id="53"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6C335-B184-48C9-B4D1-5F6FBB5F00EA}">
  <sheetPr>
    <tabColor theme="8" tint="-0.249977111117893"/>
  </sheetPr>
  <dimension ref="A1:AI233"/>
  <sheetViews>
    <sheetView showGridLines="0" view="pageBreakPreview" topLeftCell="A195" zoomScale="70" zoomScaleNormal="90" zoomScaleSheetLayoutView="70" zoomScalePageLayoutView="85" workbookViewId="0">
      <selection activeCell="A162" sqref="A162:D181"/>
    </sheetView>
  </sheetViews>
  <sheetFormatPr baseColWidth="10" defaultColWidth="11.42578125" defaultRowHeight="12"/>
  <cols>
    <col min="1" max="1" width="32" style="404" customWidth="1"/>
    <col min="2" max="2" width="7.28515625" style="889" customWidth="1"/>
    <col min="3" max="4" width="13.140625" style="404" bestFit="1" customWidth="1"/>
    <col min="5" max="5" width="7.42578125" style="404" customWidth="1"/>
    <col min="6" max="6" width="7.28515625" style="404" customWidth="1"/>
    <col min="7" max="9" width="6.7109375" style="404" bestFit="1" customWidth="1"/>
    <col min="10" max="10" width="12.5703125" style="404" bestFit="1" customWidth="1"/>
    <col min="11" max="11" width="14.7109375" style="404" bestFit="1" customWidth="1"/>
    <col min="12" max="12" width="17" style="404" bestFit="1" customWidth="1"/>
    <col min="13" max="13" width="13.140625" style="404" bestFit="1" customWidth="1"/>
    <col min="14" max="14" width="17.42578125" style="404" bestFit="1" customWidth="1"/>
    <col min="15" max="15" width="18.140625" style="404" bestFit="1" customWidth="1"/>
    <col min="16" max="16" width="18.42578125" style="404" bestFit="1" customWidth="1"/>
    <col min="17" max="17" width="7.140625" style="404" bestFit="1" customWidth="1"/>
    <col min="18" max="18" width="12.85546875" style="404" bestFit="1" customWidth="1"/>
    <col min="19" max="19" width="13.140625" style="404" bestFit="1" customWidth="1"/>
    <col min="20" max="21" width="8.7109375" style="404" customWidth="1"/>
    <col min="22" max="24" width="6.85546875" style="404" bestFit="1" customWidth="1"/>
    <col min="25" max="25" width="12.5703125" style="404" bestFit="1" customWidth="1"/>
    <col min="26" max="26" width="14.7109375" style="404" bestFit="1" customWidth="1"/>
    <col min="27" max="27" width="17" style="404" bestFit="1" customWidth="1"/>
    <col min="28" max="28" width="12.42578125" style="404" bestFit="1" customWidth="1"/>
    <col min="29" max="29" width="14" style="404" bestFit="1" customWidth="1"/>
    <col min="30" max="30" width="18.42578125" style="404" bestFit="1" customWidth="1"/>
    <col min="31" max="31" width="16.28515625" style="404" customWidth="1"/>
    <col min="32" max="32" width="13.42578125" style="404" customWidth="1"/>
    <col min="33" max="33" width="14.42578125" style="404" bestFit="1" customWidth="1"/>
    <col min="34" max="34" width="8.140625" style="404" bestFit="1" customWidth="1"/>
    <col min="35" max="35" width="15.42578125" style="404" bestFit="1" customWidth="1"/>
    <col min="36" max="36" width="0.7109375" style="404" customWidth="1"/>
    <col min="37" max="16384" width="11.42578125" style="404"/>
  </cols>
  <sheetData>
    <row r="1" spans="1:35" s="339" customFormat="1">
      <c r="A1" s="807" t="s">
        <v>417</v>
      </c>
      <c r="B1" s="1262"/>
    </row>
    <row r="2" spans="1:35" s="339" customFormat="1">
      <c r="A2" s="802" t="s">
        <v>746</v>
      </c>
      <c r="B2" s="80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row>
    <row r="3" spans="1:35" s="807" customFormat="1">
      <c r="B3" s="1261"/>
      <c r="T3" s="808"/>
    </row>
    <row r="4" spans="1:35" s="807" customFormat="1">
      <c r="A4" s="784" t="s">
        <v>1291</v>
      </c>
      <c r="B4" s="1261"/>
      <c r="T4" s="808"/>
    </row>
    <row r="5" spans="1:35" s="807" customFormat="1">
      <c r="A5" s="807" t="s">
        <v>1315</v>
      </c>
      <c r="B5" s="1261"/>
      <c r="T5" s="808"/>
    </row>
    <row r="6" spans="1:35" s="807" customFormat="1" ht="12.75" thickBot="1">
      <c r="A6" s="784"/>
      <c r="B6" s="1261"/>
      <c r="T6" s="808"/>
    </row>
    <row r="7" spans="1:35" s="276" customFormat="1" ht="24" customHeight="1" thickBot="1">
      <c r="A7" s="1708" t="s">
        <v>59</v>
      </c>
      <c r="B7" s="1711" t="s">
        <v>326</v>
      </c>
      <c r="C7" s="1711"/>
      <c r="D7" s="1711"/>
      <c r="E7" s="1711"/>
      <c r="F7" s="1711"/>
      <c r="G7" s="1711"/>
      <c r="H7" s="1711"/>
      <c r="I7" s="1711"/>
      <c r="J7" s="1711"/>
      <c r="K7" s="1711"/>
      <c r="L7" s="1711"/>
      <c r="M7" s="1711"/>
      <c r="N7" s="1711"/>
      <c r="O7" s="1711"/>
      <c r="P7" s="1712"/>
      <c r="Q7" s="1713" t="s">
        <v>418</v>
      </c>
      <c r="R7" s="1714"/>
      <c r="S7" s="1714"/>
      <c r="T7" s="1714"/>
      <c r="U7" s="1714"/>
      <c r="V7" s="1714"/>
      <c r="W7" s="1714"/>
      <c r="X7" s="1714"/>
      <c r="Y7" s="1714"/>
      <c r="Z7" s="1714"/>
      <c r="AA7" s="1714"/>
      <c r="AB7" s="1714"/>
      <c r="AC7" s="1714"/>
      <c r="AD7" s="1714"/>
      <c r="AE7" s="1715"/>
      <c r="AF7" s="1716" t="s">
        <v>420</v>
      </c>
      <c r="AG7" s="1717"/>
      <c r="AH7" s="1718" t="s">
        <v>419</v>
      </c>
      <c r="AI7" s="1719"/>
    </row>
    <row r="8" spans="1:35" ht="129.94999999999999" customHeight="1">
      <c r="A8" s="1709"/>
      <c r="B8" s="813" t="s">
        <v>11</v>
      </c>
      <c r="C8" s="1350" t="s">
        <v>144</v>
      </c>
      <c r="D8" s="1350" t="s">
        <v>265</v>
      </c>
      <c r="E8" s="1350" t="s">
        <v>146</v>
      </c>
      <c r="F8" s="1350" t="s">
        <v>178</v>
      </c>
      <c r="G8" s="1350" t="s">
        <v>179</v>
      </c>
      <c r="H8" s="1350" t="s">
        <v>180</v>
      </c>
      <c r="I8" s="1350" t="s">
        <v>181</v>
      </c>
      <c r="J8" s="1350" t="s">
        <v>147</v>
      </c>
      <c r="K8" s="1350" t="s">
        <v>148</v>
      </c>
      <c r="L8" s="1350" t="s">
        <v>149</v>
      </c>
      <c r="M8" s="1350" t="s">
        <v>177</v>
      </c>
      <c r="N8" s="1350" t="s">
        <v>119</v>
      </c>
      <c r="O8" s="1350" t="s">
        <v>152</v>
      </c>
      <c r="P8" s="1352" t="s">
        <v>151</v>
      </c>
      <c r="Q8" s="813" t="s">
        <v>11</v>
      </c>
      <c r="R8" s="811" t="s">
        <v>144</v>
      </c>
      <c r="S8" s="811" t="s">
        <v>145</v>
      </c>
      <c r="T8" s="811" t="s">
        <v>146</v>
      </c>
      <c r="U8" s="811" t="s">
        <v>178</v>
      </c>
      <c r="V8" s="811" t="s">
        <v>179</v>
      </c>
      <c r="W8" s="811" t="s">
        <v>180</v>
      </c>
      <c r="X8" s="811" t="s">
        <v>181</v>
      </c>
      <c r="Y8" s="811" t="s">
        <v>147</v>
      </c>
      <c r="Z8" s="811" t="s">
        <v>148</v>
      </c>
      <c r="AA8" s="811" t="s">
        <v>149</v>
      </c>
      <c r="AB8" s="811" t="s">
        <v>177</v>
      </c>
      <c r="AC8" s="811" t="s">
        <v>119</v>
      </c>
      <c r="AD8" s="1350" t="s">
        <v>152</v>
      </c>
      <c r="AE8" s="1352" t="s">
        <v>327</v>
      </c>
      <c r="AF8" s="1386" t="s">
        <v>156</v>
      </c>
      <c r="AG8" s="1387" t="s">
        <v>155</v>
      </c>
      <c r="AH8" s="813" t="s">
        <v>11</v>
      </c>
      <c r="AI8" s="1352" t="s">
        <v>328</v>
      </c>
    </row>
    <row r="9" spans="1:35" ht="15.75" customHeight="1" thickBot="1">
      <c r="A9" s="1710"/>
      <c r="B9" s="1353" t="s">
        <v>60</v>
      </c>
      <c r="C9" s="818" t="s">
        <v>61</v>
      </c>
      <c r="D9" s="818" t="s">
        <v>62</v>
      </c>
      <c r="E9" s="818" t="s">
        <v>63</v>
      </c>
      <c r="F9" s="819" t="s">
        <v>64</v>
      </c>
      <c r="G9" s="819" t="s">
        <v>65</v>
      </c>
      <c r="H9" s="819" t="s">
        <v>81</v>
      </c>
      <c r="I9" s="819" t="s">
        <v>118</v>
      </c>
      <c r="J9" s="819" t="s">
        <v>150</v>
      </c>
      <c r="K9" s="819" t="s">
        <v>154</v>
      </c>
      <c r="L9" s="819" t="s">
        <v>186</v>
      </c>
      <c r="M9" s="819" t="s">
        <v>187</v>
      </c>
      <c r="N9" s="819" t="s">
        <v>189</v>
      </c>
      <c r="O9" s="819" t="s">
        <v>190</v>
      </c>
      <c r="P9" s="1354" t="s">
        <v>191</v>
      </c>
      <c r="Q9" s="1353" t="s">
        <v>60</v>
      </c>
      <c r="R9" s="818" t="s">
        <v>61</v>
      </c>
      <c r="S9" s="818" t="s">
        <v>62</v>
      </c>
      <c r="T9" s="818" t="s">
        <v>63</v>
      </c>
      <c r="U9" s="819" t="s">
        <v>64</v>
      </c>
      <c r="V9" s="819" t="s">
        <v>65</v>
      </c>
      <c r="W9" s="819" t="s">
        <v>81</v>
      </c>
      <c r="X9" s="819" t="s">
        <v>118</v>
      </c>
      <c r="Y9" s="819" t="s">
        <v>150</v>
      </c>
      <c r="Z9" s="819" t="s">
        <v>154</v>
      </c>
      <c r="AA9" s="819" t="s">
        <v>186</v>
      </c>
      <c r="AB9" s="819" t="s">
        <v>187</v>
      </c>
      <c r="AC9" s="819" t="s">
        <v>189</v>
      </c>
      <c r="AD9" s="819" t="s">
        <v>190</v>
      </c>
      <c r="AE9" s="1354" t="s">
        <v>191</v>
      </c>
      <c r="AF9" s="1353"/>
      <c r="AG9" s="1388"/>
      <c r="AH9" s="1353"/>
      <c r="AI9" s="1388"/>
    </row>
    <row r="10" spans="1:35" s="1260" customFormat="1">
      <c r="A10" s="1341"/>
      <c r="B10" s="825"/>
      <c r="C10" s="1355"/>
      <c r="D10" s="1355"/>
      <c r="E10" s="1355"/>
      <c r="F10" s="1355"/>
      <c r="G10" s="1355"/>
      <c r="H10" s="1355"/>
      <c r="I10" s="1355"/>
      <c r="J10" s="1355"/>
      <c r="K10" s="1355"/>
      <c r="L10" s="1355"/>
      <c r="M10" s="1355"/>
      <c r="N10" s="1355"/>
      <c r="O10" s="1355"/>
      <c r="P10" s="1356"/>
      <c r="Q10" s="825"/>
      <c r="R10" s="1355"/>
      <c r="S10" s="1355"/>
      <c r="T10" s="1355"/>
      <c r="U10" s="1355"/>
      <c r="V10" s="1355"/>
      <c r="W10" s="1355"/>
      <c r="X10" s="1355"/>
      <c r="Y10" s="1355"/>
      <c r="Z10" s="1355"/>
      <c r="AA10" s="1355"/>
      <c r="AB10" s="1355"/>
      <c r="AC10" s="1355"/>
      <c r="AD10" s="1355"/>
      <c r="AE10" s="1356"/>
      <c r="AF10" s="825"/>
      <c r="AG10" s="1356"/>
      <c r="AH10" s="825"/>
      <c r="AI10" s="1356"/>
    </row>
    <row r="11" spans="1:35" s="734" customFormat="1" ht="14.1" customHeight="1">
      <c r="A11" s="1389" t="s">
        <v>66</v>
      </c>
      <c r="B11" s="1390">
        <f t="shared" ref="B11:AI11" si="0">B13+B20+B27+B34+B39</f>
        <v>122</v>
      </c>
      <c r="C11" s="1391">
        <f t="shared" si="0"/>
        <v>95368.238961038951</v>
      </c>
      <c r="D11" s="1391">
        <f t="shared" si="0"/>
        <v>66549.164054336463</v>
      </c>
      <c r="E11" s="1391">
        <f t="shared" si="0"/>
        <v>0</v>
      </c>
      <c r="F11" s="1391">
        <f t="shared" si="0"/>
        <v>0</v>
      </c>
      <c r="G11" s="1391">
        <f t="shared" si="0"/>
        <v>0</v>
      </c>
      <c r="H11" s="1391">
        <f t="shared" si="0"/>
        <v>0</v>
      </c>
      <c r="I11" s="1391">
        <f t="shared" si="0"/>
        <v>0</v>
      </c>
      <c r="J11" s="1391">
        <f t="shared" si="0"/>
        <v>0</v>
      </c>
      <c r="K11" s="1391">
        <f t="shared" si="0"/>
        <v>161917.40301537543</v>
      </c>
      <c r="L11" s="1391">
        <f t="shared" si="0"/>
        <v>182000</v>
      </c>
      <c r="M11" s="1391">
        <f t="shared" si="0"/>
        <v>0</v>
      </c>
      <c r="N11" s="1391">
        <f t="shared" si="0"/>
        <v>182000</v>
      </c>
      <c r="O11" s="1391">
        <f t="shared" si="0"/>
        <v>2125008.8361845054</v>
      </c>
      <c r="P11" s="1392">
        <f t="shared" si="0"/>
        <v>11154043.035714285</v>
      </c>
      <c r="Q11" s="1393">
        <f t="shared" si="0"/>
        <v>113</v>
      </c>
      <c r="R11" s="1391">
        <f t="shared" si="0"/>
        <v>95232.14815126051</v>
      </c>
      <c r="S11" s="1391">
        <f t="shared" si="0"/>
        <v>67742.699849170429</v>
      </c>
      <c r="T11" s="1391">
        <f t="shared" si="0"/>
        <v>0</v>
      </c>
      <c r="U11" s="1391">
        <f t="shared" si="0"/>
        <v>0</v>
      </c>
      <c r="V11" s="1391">
        <f t="shared" si="0"/>
        <v>0</v>
      </c>
      <c r="W11" s="1391">
        <f t="shared" si="0"/>
        <v>0</v>
      </c>
      <c r="X11" s="1391">
        <f t="shared" si="0"/>
        <v>0</v>
      </c>
      <c r="Y11" s="1391">
        <f t="shared" si="0"/>
        <v>0</v>
      </c>
      <c r="Z11" s="1391">
        <f t="shared" si="0"/>
        <v>162974.84800043094</v>
      </c>
      <c r="AA11" s="1391">
        <f t="shared" si="0"/>
        <v>181000</v>
      </c>
      <c r="AB11" s="1391">
        <f t="shared" si="0"/>
        <v>0</v>
      </c>
      <c r="AC11" s="1391">
        <f t="shared" si="0"/>
        <v>181000</v>
      </c>
      <c r="AD11" s="1391">
        <f t="shared" si="0"/>
        <v>2136698.1760051711</v>
      </c>
      <c r="AE11" s="1392">
        <f t="shared" si="0"/>
        <v>11716942.789999999</v>
      </c>
      <c r="AF11" s="1393">
        <f t="shared" si="0"/>
        <v>111785.08982066612</v>
      </c>
      <c r="AG11" s="1392">
        <f t="shared" si="0"/>
        <v>562899.75428571412</v>
      </c>
      <c r="AH11" s="1393">
        <f t="shared" si="0"/>
        <v>113</v>
      </c>
      <c r="AI11" s="1392">
        <f t="shared" si="0"/>
        <v>11543024</v>
      </c>
    </row>
    <row r="12" spans="1:35" s="734" customFormat="1" ht="12.75">
      <c r="A12" s="1264"/>
      <c r="B12" s="1394"/>
      <c r="C12" s="1395"/>
      <c r="D12" s="1395"/>
      <c r="E12" s="1395"/>
      <c r="F12" s="1395"/>
      <c r="G12" s="1395"/>
      <c r="H12" s="1395"/>
      <c r="I12" s="1395"/>
      <c r="J12" s="1395"/>
      <c r="K12" s="1395"/>
      <c r="L12" s="1395"/>
      <c r="M12" s="1395"/>
      <c r="N12" s="1395"/>
      <c r="O12" s="1395"/>
      <c r="P12" s="1396"/>
      <c r="Q12" s="1397"/>
      <c r="R12" s="1395"/>
      <c r="S12" s="1395"/>
      <c r="T12" s="1395"/>
      <c r="U12" s="1395"/>
      <c r="V12" s="1395"/>
      <c r="W12" s="1395"/>
      <c r="X12" s="1395"/>
      <c r="Y12" s="1395"/>
      <c r="Z12" s="1395"/>
      <c r="AA12" s="1395"/>
      <c r="AB12" s="1395"/>
      <c r="AC12" s="1395"/>
      <c r="AD12" s="1395"/>
      <c r="AE12" s="1396"/>
      <c r="AF12" s="1397"/>
      <c r="AG12" s="1396"/>
      <c r="AH12" s="1397"/>
      <c r="AI12" s="1396"/>
    </row>
    <row r="13" spans="1:35" s="734" customFormat="1" ht="25.5" customHeight="1">
      <c r="A13" s="1430" t="s">
        <v>7</v>
      </c>
      <c r="B13" s="1515">
        <f t="shared" ref="B13:AD13" si="1">SUM(B14:B18)</f>
        <v>18</v>
      </c>
      <c r="C13" s="1512">
        <f t="shared" si="1"/>
        <v>85001.909090909088</v>
      </c>
      <c r="D13" s="1512">
        <f t="shared" si="1"/>
        <v>16370</v>
      </c>
      <c r="E13" s="1512">
        <f t="shared" si="1"/>
        <v>0</v>
      </c>
      <c r="F13" s="1512">
        <f t="shared" si="1"/>
        <v>0</v>
      </c>
      <c r="G13" s="1512">
        <f t="shared" si="1"/>
        <v>0</v>
      </c>
      <c r="H13" s="1512">
        <f t="shared" si="1"/>
        <v>0</v>
      </c>
      <c r="I13" s="1512">
        <f t="shared" si="1"/>
        <v>0</v>
      </c>
      <c r="J13" s="1512">
        <f t="shared" si="1"/>
        <v>0</v>
      </c>
      <c r="K13" s="1512">
        <f t="shared" si="1"/>
        <v>101371.90909090909</v>
      </c>
      <c r="L13" s="1512">
        <f t="shared" si="1"/>
        <v>168000</v>
      </c>
      <c r="M13" s="1512">
        <f t="shared" si="1"/>
        <v>0</v>
      </c>
      <c r="N13" s="1512">
        <f t="shared" si="1"/>
        <v>168000</v>
      </c>
      <c r="O13" s="1512">
        <f t="shared" si="1"/>
        <v>1384462.9090909092</v>
      </c>
      <c r="P13" s="1513">
        <f t="shared" si="1"/>
        <v>3754719.75</v>
      </c>
      <c r="Q13" s="1514">
        <f t="shared" si="1"/>
        <v>15</v>
      </c>
      <c r="R13" s="1512">
        <f t="shared" si="1"/>
        <v>84953.142857142855</v>
      </c>
      <c r="S13" s="1512">
        <f t="shared" si="1"/>
        <v>16253.333333333332</v>
      </c>
      <c r="T13" s="1512">
        <f t="shared" si="1"/>
        <v>0</v>
      </c>
      <c r="U13" s="1512">
        <f t="shared" si="1"/>
        <v>0</v>
      </c>
      <c r="V13" s="1512">
        <f t="shared" si="1"/>
        <v>0</v>
      </c>
      <c r="W13" s="1512">
        <f t="shared" si="1"/>
        <v>0</v>
      </c>
      <c r="X13" s="1512">
        <f t="shared" si="1"/>
        <v>0</v>
      </c>
      <c r="Y13" s="1512">
        <f t="shared" si="1"/>
        <v>0</v>
      </c>
      <c r="Z13" s="1512">
        <f t="shared" si="1"/>
        <v>101206.47619047618</v>
      </c>
      <c r="AA13" s="1512">
        <f t="shared" si="1"/>
        <v>168000</v>
      </c>
      <c r="AB13" s="1512">
        <f t="shared" si="1"/>
        <v>0</v>
      </c>
      <c r="AC13" s="1512">
        <f t="shared" si="1"/>
        <v>168000</v>
      </c>
      <c r="AD13" s="1512">
        <f t="shared" si="1"/>
        <v>1382477.7142857143</v>
      </c>
      <c r="AE13" s="1513">
        <f>SUM(AE14:AE18)+100095.75</f>
        <v>3505698.75</v>
      </c>
      <c r="AF13" s="1514">
        <f>SUM(AF14:AF18)+100095.75</f>
        <v>98110.555194805173</v>
      </c>
      <c r="AG13" s="1513">
        <f>SUM(AG14:AG18)+100095.75</f>
        <v>-249021.00000000029</v>
      </c>
      <c r="AH13" s="1514">
        <f>SUM(AH14:AH18)</f>
        <v>15</v>
      </c>
      <c r="AI13" s="1513">
        <f>SUM(AI14:AI18)+686989</f>
        <v>4003892</v>
      </c>
    </row>
    <row r="14" spans="1:35" s="734" customFormat="1" ht="14.1" customHeight="1">
      <c r="A14" s="1502" t="s">
        <v>3</v>
      </c>
      <c r="B14" s="1503">
        <v>1</v>
      </c>
      <c r="C14" s="1505">
        <v>30000</v>
      </c>
      <c r="D14" s="1505"/>
      <c r="E14" s="1505"/>
      <c r="F14" s="1505"/>
      <c r="G14" s="1505"/>
      <c r="H14" s="1505"/>
      <c r="I14" s="1505"/>
      <c r="J14" s="1505"/>
      <c r="K14" s="1505">
        <f>SUM(C14:J14)</f>
        <v>30000</v>
      </c>
      <c r="L14" s="1505">
        <v>60000</v>
      </c>
      <c r="M14" s="1505"/>
      <c r="N14" s="1505">
        <f>SUM(L14:M14)</f>
        <v>60000</v>
      </c>
      <c r="O14" s="1505">
        <f>K14*12+N14</f>
        <v>420000</v>
      </c>
      <c r="P14" s="1506">
        <f>O14*B14+100095.75+13090</f>
        <v>533185.75</v>
      </c>
      <c r="Q14" s="1508">
        <v>1</v>
      </c>
      <c r="R14" s="1505">
        <v>30000</v>
      </c>
      <c r="S14" s="1505"/>
      <c r="T14" s="1505"/>
      <c r="U14" s="1505"/>
      <c r="V14" s="1505"/>
      <c r="W14" s="1505"/>
      <c r="X14" s="1505"/>
      <c r="Y14" s="1505"/>
      <c r="Z14" s="1505">
        <f>SUM(R14:Y14)</f>
        <v>30000</v>
      </c>
      <c r="AA14" s="1505">
        <v>60000</v>
      </c>
      <c r="AB14" s="1505"/>
      <c r="AC14" s="1505">
        <f>SUM(AA14:AB14)</f>
        <v>60000</v>
      </c>
      <c r="AD14" s="1505">
        <f>Z14*12+AC14</f>
        <v>420000</v>
      </c>
      <c r="AE14" s="1506">
        <f>AD14*Q14+22765</f>
        <v>442765</v>
      </c>
      <c r="AF14" s="1508">
        <f t="shared" ref="AF14:AG18" si="2">AD14-O14</f>
        <v>0</v>
      </c>
      <c r="AG14" s="1506">
        <f t="shared" si="2"/>
        <v>-90420.75</v>
      </c>
      <c r="AH14" s="1508">
        <v>1</v>
      </c>
      <c r="AI14" s="1509">
        <f>420000+16679</f>
        <v>436679</v>
      </c>
    </row>
    <row r="15" spans="1:35" s="734" customFormat="1" ht="14.1" customHeight="1">
      <c r="A15" s="1342" t="s">
        <v>1296</v>
      </c>
      <c r="B15" s="1398">
        <v>3</v>
      </c>
      <c r="C15" s="1399">
        <v>28000</v>
      </c>
      <c r="D15" s="1399"/>
      <c r="E15" s="1399"/>
      <c r="F15" s="1399"/>
      <c r="G15" s="1399"/>
      <c r="H15" s="1399"/>
      <c r="I15" s="1399"/>
      <c r="J15" s="1399"/>
      <c r="K15" s="1399">
        <f>SUM(C15:J15)</f>
        <v>28000</v>
      </c>
      <c r="L15" s="1399">
        <v>56000</v>
      </c>
      <c r="M15" s="1399"/>
      <c r="N15" s="1399">
        <f>SUM(L15:M15)</f>
        <v>56000</v>
      </c>
      <c r="O15" s="1399">
        <f>K15*12+N15</f>
        <v>392000</v>
      </c>
      <c r="P15" s="1400">
        <f>O15*B15+39270</f>
        <v>1215270</v>
      </c>
      <c r="Q15" s="1401">
        <v>3</v>
      </c>
      <c r="R15" s="1399">
        <f>84000/3</f>
        <v>28000</v>
      </c>
      <c r="S15" s="1399"/>
      <c r="T15" s="1399"/>
      <c r="U15" s="1399"/>
      <c r="V15" s="1399"/>
      <c r="W15" s="1399"/>
      <c r="X15" s="1399"/>
      <c r="Y15" s="1399"/>
      <c r="Z15" s="1399">
        <f>SUM(R15:Y15)</f>
        <v>28000</v>
      </c>
      <c r="AA15" s="1399">
        <v>56000</v>
      </c>
      <c r="AB15" s="1399"/>
      <c r="AC15" s="1399">
        <f>SUM(AA15:AB15)</f>
        <v>56000</v>
      </c>
      <c r="AD15" s="1399">
        <f>Z15*12+AC15</f>
        <v>392000</v>
      </c>
      <c r="AE15" s="1400">
        <f>AD15*Q15+68295</f>
        <v>1244295</v>
      </c>
      <c r="AF15" s="1401">
        <f t="shared" si="2"/>
        <v>0</v>
      </c>
      <c r="AG15" s="1400">
        <f t="shared" si="2"/>
        <v>29025</v>
      </c>
      <c r="AH15" s="1401">
        <v>3</v>
      </c>
      <c r="AI15" s="1402">
        <f>1176000+50637</f>
        <v>1226637</v>
      </c>
    </row>
    <row r="16" spans="1:35" s="734" customFormat="1" ht="14.1" customHeight="1">
      <c r="A16" s="1342" t="s">
        <v>1297</v>
      </c>
      <c r="B16" s="1398">
        <v>1</v>
      </c>
      <c r="C16" s="1399">
        <v>25000</v>
      </c>
      <c r="D16" s="1399"/>
      <c r="E16" s="1399"/>
      <c r="F16" s="1399"/>
      <c r="G16" s="1399"/>
      <c r="H16" s="1399"/>
      <c r="I16" s="1399"/>
      <c r="J16" s="1399"/>
      <c r="K16" s="1399">
        <f>SUM(C16:J16)</f>
        <v>25000</v>
      </c>
      <c r="L16" s="1399">
        <v>50000</v>
      </c>
      <c r="M16" s="1399"/>
      <c r="N16" s="1399">
        <f>SUM(L16:M16)</f>
        <v>50000</v>
      </c>
      <c r="O16" s="1399">
        <f>K16*12+N16</f>
        <v>350000</v>
      </c>
      <c r="P16" s="1400">
        <f>O16*B16+13090</f>
        <v>363090</v>
      </c>
      <c r="Q16" s="1401">
        <v>1</v>
      </c>
      <c r="R16" s="1399">
        <v>25000</v>
      </c>
      <c r="S16" s="1399"/>
      <c r="T16" s="1399"/>
      <c r="U16" s="1399"/>
      <c r="V16" s="1399"/>
      <c r="W16" s="1399"/>
      <c r="X16" s="1399"/>
      <c r="Y16" s="1399"/>
      <c r="Z16" s="1399">
        <f>SUM(R16:Y16)</f>
        <v>25000</v>
      </c>
      <c r="AA16" s="1399">
        <v>50000</v>
      </c>
      <c r="AB16" s="1399"/>
      <c r="AC16" s="1399">
        <f>SUM(AA16:AB16)</f>
        <v>50000</v>
      </c>
      <c r="AD16" s="1399">
        <f>Z16*12+AC16</f>
        <v>350000</v>
      </c>
      <c r="AE16" s="1400">
        <f>AD16*Q16+22765</f>
        <v>372765</v>
      </c>
      <c r="AF16" s="1401">
        <f t="shared" si="2"/>
        <v>0</v>
      </c>
      <c r="AG16" s="1400">
        <f t="shared" si="2"/>
        <v>9675</v>
      </c>
      <c r="AH16" s="1401">
        <v>1</v>
      </c>
      <c r="AI16" s="1402">
        <f>350000+16679</f>
        <v>366679</v>
      </c>
    </row>
    <row r="17" spans="1:35" s="734" customFormat="1" ht="14.1" customHeight="1">
      <c r="A17" s="1342" t="s">
        <v>1300</v>
      </c>
      <c r="B17" s="1398">
        <v>11</v>
      </c>
      <c r="C17" s="1399">
        <v>1075.909090909091</v>
      </c>
      <c r="D17" s="1399">
        <v>8360</v>
      </c>
      <c r="E17" s="1399"/>
      <c r="F17" s="1399"/>
      <c r="G17" s="1399"/>
      <c r="H17" s="1399"/>
      <c r="I17" s="1399"/>
      <c r="J17" s="1399"/>
      <c r="K17" s="1399">
        <f>SUM(C17:J17)</f>
        <v>9435.9090909090919</v>
      </c>
      <c r="L17" s="1399">
        <v>1000</v>
      </c>
      <c r="M17" s="1399"/>
      <c r="N17" s="1399">
        <f>SUM(L17:M17)</f>
        <v>1000</v>
      </c>
      <c r="O17" s="1399">
        <f>K17*12+N17</f>
        <v>114230.9090909091</v>
      </c>
      <c r="P17" s="1400">
        <f>O17*B17+143990</f>
        <v>1400530.0000000002</v>
      </c>
      <c r="Q17" s="1401">
        <v>7</v>
      </c>
      <c r="R17" s="1399">
        <f>7498/7</f>
        <v>1071.1428571428571</v>
      </c>
      <c r="S17" s="1399">
        <f>58520/7</f>
        <v>8360</v>
      </c>
      <c r="T17" s="1399"/>
      <c r="U17" s="1399"/>
      <c r="V17" s="1399"/>
      <c r="W17" s="1399"/>
      <c r="X17" s="1399"/>
      <c r="Y17" s="1399"/>
      <c r="Z17" s="1399">
        <f>SUM(R17:Y17)</f>
        <v>9431.1428571428569</v>
      </c>
      <c r="AA17" s="1399">
        <v>1000</v>
      </c>
      <c r="AB17" s="1399"/>
      <c r="AC17" s="1399">
        <f>SUM(AA17:AB17)</f>
        <v>1000</v>
      </c>
      <c r="AD17" s="1399">
        <f>Z17*12+AC17</f>
        <v>114173.71428571429</v>
      </c>
      <c r="AE17" s="1400">
        <f>AD17*Q17+159355</f>
        <v>958571</v>
      </c>
      <c r="AF17" s="1401">
        <f t="shared" si="2"/>
        <v>-57.194805194812943</v>
      </c>
      <c r="AG17" s="1400">
        <f t="shared" si="2"/>
        <v>-441959.00000000023</v>
      </c>
      <c r="AH17" s="1403">
        <v>7</v>
      </c>
      <c r="AI17" s="1402">
        <f>799208+118153</f>
        <v>917361</v>
      </c>
    </row>
    <row r="18" spans="1:35" s="734" customFormat="1" ht="14.1" customHeight="1">
      <c r="A18" s="1342" t="s">
        <v>1301</v>
      </c>
      <c r="B18" s="1398">
        <v>2</v>
      </c>
      <c r="C18" s="1399">
        <v>926</v>
      </c>
      <c r="D18" s="1399">
        <v>8010</v>
      </c>
      <c r="E18" s="1399"/>
      <c r="F18" s="1399"/>
      <c r="G18" s="1399"/>
      <c r="H18" s="1399"/>
      <c r="I18" s="1399"/>
      <c r="J18" s="1399"/>
      <c r="K18" s="1399">
        <f>SUM(C18:J18)</f>
        <v>8936</v>
      </c>
      <c r="L18" s="1399">
        <v>1000</v>
      </c>
      <c r="M18" s="1399"/>
      <c r="N18" s="1399">
        <f>SUM(L18:M18)</f>
        <v>1000</v>
      </c>
      <c r="O18" s="1399">
        <f>K18*12+N18</f>
        <v>108232</v>
      </c>
      <c r="P18" s="1400">
        <f>O18*B18+26180</f>
        <v>242644</v>
      </c>
      <c r="Q18" s="1401">
        <v>3</v>
      </c>
      <c r="R18" s="1399">
        <f>2646/3</f>
        <v>882</v>
      </c>
      <c r="S18" s="1399">
        <f>23680/3</f>
        <v>7893.333333333333</v>
      </c>
      <c r="T18" s="1399"/>
      <c r="U18" s="1399"/>
      <c r="V18" s="1399"/>
      <c r="W18" s="1399"/>
      <c r="X18" s="1399"/>
      <c r="Y18" s="1399"/>
      <c r="Z18" s="1399">
        <f>SUM(R18:Y18)</f>
        <v>8775.3333333333321</v>
      </c>
      <c r="AA18" s="1399">
        <v>1000</v>
      </c>
      <c r="AB18" s="1399"/>
      <c r="AC18" s="1399">
        <f>SUM(AA18:AB18)</f>
        <v>1000</v>
      </c>
      <c r="AD18" s="1399">
        <f>Z18*12+AC18</f>
        <v>106303.99999999999</v>
      </c>
      <c r="AE18" s="1400">
        <f>AD18*Q18+68295</f>
        <v>387206.99999999994</v>
      </c>
      <c r="AF18" s="1401">
        <f t="shared" si="2"/>
        <v>-1928.0000000000146</v>
      </c>
      <c r="AG18" s="1400">
        <f t="shared" si="2"/>
        <v>144562.99999999994</v>
      </c>
      <c r="AH18" s="1403">
        <v>3</v>
      </c>
      <c r="AI18" s="1402">
        <f>318910+50637</f>
        <v>369547</v>
      </c>
    </row>
    <row r="19" spans="1:35" s="734" customFormat="1" ht="12.75">
      <c r="A19" s="1412"/>
      <c r="B19" s="1413"/>
      <c r="C19" s="1414"/>
      <c r="D19" s="1414"/>
      <c r="E19" s="1414"/>
      <c r="F19" s="1414"/>
      <c r="G19" s="1414"/>
      <c r="H19" s="1414"/>
      <c r="I19" s="1414"/>
      <c r="J19" s="1414"/>
      <c r="K19" s="1414"/>
      <c r="L19" s="1414"/>
      <c r="M19" s="1414"/>
      <c r="N19" s="1414"/>
      <c r="O19" s="1414"/>
      <c r="P19" s="1408"/>
      <c r="Q19" s="1407"/>
      <c r="R19" s="1414"/>
      <c r="S19" s="1414"/>
      <c r="T19" s="1414"/>
      <c r="U19" s="1414"/>
      <c r="V19" s="1414"/>
      <c r="W19" s="1414"/>
      <c r="X19" s="1414"/>
      <c r="Y19" s="1414"/>
      <c r="Z19" s="1414"/>
      <c r="AA19" s="1414"/>
      <c r="AB19" s="1414"/>
      <c r="AC19" s="1414"/>
      <c r="AD19" s="1414"/>
      <c r="AE19" s="1408"/>
      <c r="AF19" s="1407"/>
      <c r="AG19" s="1408"/>
      <c r="AH19" s="1407"/>
      <c r="AI19" s="1408"/>
    </row>
    <row r="20" spans="1:35" s="734" customFormat="1" ht="15.95" customHeight="1">
      <c r="A20" s="1516" t="s">
        <v>4</v>
      </c>
      <c r="B20" s="1515">
        <f t="shared" ref="B20:AI20" si="3">SUM(B21:B25)</f>
        <v>47</v>
      </c>
      <c r="C20" s="1512">
        <f t="shared" si="3"/>
        <v>3233.522727272727</v>
      </c>
      <c r="D20" s="1512">
        <f t="shared" si="3"/>
        <v>26806.060606060608</v>
      </c>
      <c r="E20" s="1512">
        <f t="shared" si="3"/>
        <v>0</v>
      </c>
      <c r="F20" s="1512">
        <f t="shared" si="3"/>
        <v>0</v>
      </c>
      <c r="G20" s="1512">
        <f t="shared" si="3"/>
        <v>0</v>
      </c>
      <c r="H20" s="1512">
        <f t="shared" si="3"/>
        <v>0</v>
      </c>
      <c r="I20" s="1512">
        <f t="shared" si="3"/>
        <v>0</v>
      </c>
      <c r="J20" s="1512">
        <f t="shared" si="3"/>
        <v>0</v>
      </c>
      <c r="K20" s="1512">
        <f t="shared" si="3"/>
        <v>30039.583333333332</v>
      </c>
      <c r="L20" s="1512">
        <f t="shared" si="3"/>
        <v>5000</v>
      </c>
      <c r="M20" s="1512">
        <f t="shared" si="3"/>
        <v>0</v>
      </c>
      <c r="N20" s="1512">
        <f t="shared" si="3"/>
        <v>5000</v>
      </c>
      <c r="O20" s="1512">
        <f t="shared" si="3"/>
        <v>365475</v>
      </c>
      <c r="P20" s="1513">
        <f t="shared" si="3"/>
        <v>4255774</v>
      </c>
      <c r="Q20" s="1514">
        <f t="shared" si="3"/>
        <v>44</v>
      </c>
      <c r="R20" s="1512">
        <f t="shared" si="3"/>
        <v>3387.285294117647</v>
      </c>
      <c r="S20" s="1512">
        <f t="shared" si="3"/>
        <v>26817.058823529413</v>
      </c>
      <c r="T20" s="1512">
        <f t="shared" si="3"/>
        <v>0</v>
      </c>
      <c r="U20" s="1512">
        <f t="shared" si="3"/>
        <v>0</v>
      </c>
      <c r="V20" s="1512">
        <f t="shared" si="3"/>
        <v>0</v>
      </c>
      <c r="W20" s="1512">
        <f t="shared" si="3"/>
        <v>0</v>
      </c>
      <c r="X20" s="1512">
        <f t="shared" si="3"/>
        <v>0</v>
      </c>
      <c r="Y20" s="1512">
        <f t="shared" si="3"/>
        <v>0</v>
      </c>
      <c r="Z20" s="1512">
        <f t="shared" si="3"/>
        <v>30204.344117647059</v>
      </c>
      <c r="AA20" s="1512">
        <f t="shared" si="3"/>
        <v>5000</v>
      </c>
      <c r="AB20" s="1512">
        <f t="shared" si="3"/>
        <v>0</v>
      </c>
      <c r="AC20" s="1512">
        <f t="shared" si="3"/>
        <v>5000</v>
      </c>
      <c r="AD20" s="1512">
        <f t="shared" si="3"/>
        <v>367452.12941176468</v>
      </c>
      <c r="AE20" s="1513">
        <f t="shared" si="3"/>
        <v>4423780</v>
      </c>
      <c r="AF20" s="1514">
        <f t="shared" si="3"/>
        <v>1977.1294117647049</v>
      </c>
      <c r="AG20" s="1513">
        <f t="shared" si="3"/>
        <v>168006</v>
      </c>
      <c r="AH20" s="1514">
        <f t="shared" si="3"/>
        <v>44</v>
      </c>
      <c r="AI20" s="1513">
        <f t="shared" si="3"/>
        <v>4164775</v>
      </c>
    </row>
    <row r="21" spans="1:35" s="734" customFormat="1" ht="14.1" customHeight="1">
      <c r="A21" s="1502" t="s">
        <v>1302</v>
      </c>
      <c r="B21" s="1503">
        <v>18</v>
      </c>
      <c r="C21" s="1504">
        <v>790.5</v>
      </c>
      <c r="D21" s="1504">
        <v>5993.333333333333</v>
      </c>
      <c r="E21" s="1504"/>
      <c r="F21" s="1504"/>
      <c r="G21" s="1504"/>
      <c r="H21" s="1504"/>
      <c r="I21" s="1504"/>
      <c r="J21" s="1504"/>
      <c r="K21" s="1505">
        <f>SUM(C21:J21)</f>
        <v>6783.833333333333</v>
      </c>
      <c r="L21" s="1505">
        <v>1000</v>
      </c>
      <c r="M21" s="1504"/>
      <c r="N21" s="1505">
        <f>SUM(L21:M21)</f>
        <v>1000</v>
      </c>
      <c r="O21" s="1505">
        <f>K21*12+N21</f>
        <v>82406</v>
      </c>
      <c r="P21" s="1506">
        <f>O21*B21+235620</f>
        <v>1718928</v>
      </c>
      <c r="Q21" s="1507">
        <v>17</v>
      </c>
      <c r="R21" s="1504">
        <f>13332/17</f>
        <v>784.23529411764707</v>
      </c>
      <c r="S21" s="1504">
        <f>102120/17</f>
        <v>6007.0588235294117</v>
      </c>
      <c r="T21" s="1504"/>
      <c r="U21" s="1504"/>
      <c r="V21" s="1504"/>
      <c r="W21" s="1504"/>
      <c r="X21" s="1504"/>
      <c r="Y21" s="1504"/>
      <c r="Z21" s="1505">
        <f>SUM(R21:Y21)</f>
        <v>6791.2941176470586</v>
      </c>
      <c r="AA21" s="1505">
        <v>1000</v>
      </c>
      <c r="AB21" s="1505"/>
      <c r="AC21" s="1505">
        <f>SUM(AA21:AB21)</f>
        <v>1000</v>
      </c>
      <c r="AD21" s="1505">
        <f>Z21*12+AC21</f>
        <v>82495.529411764699</v>
      </c>
      <c r="AE21" s="1506">
        <f>AD21*Q21+387005</f>
        <v>1789429</v>
      </c>
      <c r="AF21" s="1508">
        <f t="shared" ref="AF21:AG25" si="4">AD21-O21</f>
        <v>89.529411764699034</v>
      </c>
      <c r="AG21" s="1506">
        <f t="shared" si="4"/>
        <v>70501</v>
      </c>
      <c r="AH21" s="1507">
        <v>17</v>
      </c>
      <c r="AI21" s="1509">
        <f>1402421+286943</f>
        <v>1689364</v>
      </c>
    </row>
    <row r="22" spans="1:35" s="734" customFormat="1" ht="14.1" customHeight="1">
      <c r="A22" s="1342" t="s">
        <v>1303</v>
      </c>
      <c r="B22" s="1398">
        <v>22</v>
      </c>
      <c r="C22" s="1409">
        <v>675.77272727272725</v>
      </c>
      <c r="D22" s="1409">
        <v>5532.727272727273</v>
      </c>
      <c r="E22" s="1409"/>
      <c r="F22" s="1409"/>
      <c r="G22" s="1409"/>
      <c r="H22" s="1409"/>
      <c r="I22" s="1409"/>
      <c r="J22" s="1409"/>
      <c r="K22" s="1399">
        <f>SUM(C22:J22)</f>
        <v>6208.5</v>
      </c>
      <c r="L22" s="1399">
        <v>1000</v>
      </c>
      <c r="M22" s="1409"/>
      <c r="N22" s="1399">
        <f>SUM(L22:M22)</f>
        <v>1000</v>
      </c>
      <c r="O22" s="1399">
        <f>K22*12+N22</f>
        <v>75502</v>
      </c>
      <c r="P22" s="1400">
        <f>O22*B22+287980</f>
        <v>1949024</v>
      </c>
      <c r="Q22" s="1403">
        <v>20</v>
      </c>
      <c r="R22" s="1409">
        <f>14481/20</f>
        <v>724.05</v>
      </c>
      <c r="S22" s="1409">
        <f>110600/20</f>
        <v>5530</v>
      </c>
      <c r="T22" s="1409"/>
      <c r="U22" s="1409"/>
      <c r="V22" s="1409"/>
      <c r="W22" s="1409"/>
      <c r="X22" s="1409"/>
      <c r="Y22" s="1409"/>
      <c r="Z22" s="1399">
        <f>SUM(R22:Y22)</f>
        <v>6254.05</v>
      </c>
      <c r="AA22" s="1399">
        <v>1000</v>
      </c>
      <c r="AB22" s="1399"/>
      <c r="AC22" s="1399">
        <f>SUM(AA22:AB22)</f>
        <v>1000</v>
      </c>
      <c r="AD22" s="1399">
        <f>Z22*12+AC22</f>
        <v>76048.600000000006</v>
      </c>
      <c r="AE22" s="1400">
        <f>AD22*Q22+455300</f>
        <v>1976272</v>
      </c>
      <c r="AF22" s="1401">
        <f t="shared" si="4"/>
        <v>546.60000000000582</v>
      </c>
      <c r="AG22" s="1400">
        <f t="shared" si="4"/>
        <v>27248</v>
      </c>
      <c r="AH22" s="1403">
        <v>20</v>
      </c>
      <c r="AI22" s="1402">
        <f>1520964+337580</f>
        <v>1858544</v>
      </c>
    </row>
    <row r="23" spans="1:35" s="734" customFormat="1" ht="14.1" customHeight="1">
      <c r="A23" s="1342" t="s">
        <v>1304</v>
      </c>
      <c r="B23" s="1398">
        <v>4</v>
      </c>
      <c r="C23" s="1409">
        <v>620.25</v>
      </c>
      <c r="D23" s="1409">
        <v>5360</v>
      </c>
      <c r="E23" s="1409"/>
      <c r="F23" s="1409"/>
      <c r="G23" s="1409"/>
      <c r="H23" s="1409"/>
      <c r="I23" s="1409"/>
      <c r="J23" s="1409"/>
      <c r="K23" s="1399">
        <f>SUM(C23:J23)</f>
        <v>5980.25</v>
      </c>
      <c r="L23" s="1399">
        <v>1000</v>
      </c>
      <c r="M23" s="1409"/>
      <c r="N23" s="1399">
        <f>SUM(L23:M23)</f>
        <v>1000</v>
      </c>
      <c r="O23" s="1399">
        <f>K23*12+N23</f>
        <v>72763</v>
      </c>
      <c r="P23" s="1400">
        <f>O23*B23+52360</f>
        <v>343412</v>
      </c>
      <c r="Q23" s="1403">
        <v>4</v>
      </c>
      <c r="R23" s="1409">
        <f>2596/4</f>
        <v>649</v>
      </c>
      <c r="S23" s="1409">
        <f>21440/4</f>
        <v>5360</v>
      </c>
      <c r="T23" s="1409"/>
      <c r="U23" s="1409"/>
      <c r="V23" s="1409"/>
      <c r="W23" s="1409"/>
      <c r="X23" s="1409"/>
      <c r="Y23" s="1409"/>
      <c r="Z23" s="1399">
        <f>SUM(R23:Y23)</f>
        <v>6009</v>
      </c>
      <c r="AA23" s="1399">
        <v>1000</v>
      </c>
      <c r="AB23" s="1399"/>
      <c r="AC23" s="1399">
        <f>SUM(AA23:AB23)</f>
        <v>1000</v>
      </c>
      <c r="AD23" s="1399">
        <f>Z23*12+AC23</f>
        <v>73108</v>
      </c>
      <c r="AE23" s="1400">
        <f>AD23*Q23+91060</f>
        <v>383492</v>
      </c>
      <c r="AF23" s="1401">
        <f t="shared" si="4"/>
        <v>345</v>
      </c>
      <c r="AG23" s="1400">
        <f t="shared" si="4"/>
        <v>40080</v>
      </c>
      <c r="AH23" s="1403">
        <v>4</v>
      </c>
      <c r="AI23" s="1402">
        <f>292421+67516</f>
        <v>359937</v>
      </c>
    </row>
    <row r="24" spans="1:35" s="734" customFormat="1" ht="14.1" customHeight="1">
      <c r="A24" s="1342" t="s">
        <v>1305</v>
      </c>
      <c r="B24" s="1398">
        <v>2</v>
      </c>
      <c r="C24" s="1409">
        <v>618</v>
      </c>
      <c r="D24" s="1409">
        <v>5160</v>
      </c>
      <c r="E24" s="1409"/>
      <c r="F24" s="1409"/>
      <c r="G24" s="1409"/>
      <c r="H24" s="1409"/>
      <c r="I24" s="1409"/>
      <c r="J24" s="1409"/>
      <c r="K24" s="1399">
        <f>SUM(C24:J24)</f>
        <v>5778</v>
      </c>
      <c r="L24" s="1399">
        <v>1000</v>
      </c>
      <c r="M24" s="1409"/>
      <c r="N24" s="1399">
        <f>SUM(L24:M24)</f>
        <v>1000</v>
      </c>
      <c r="O24" s="1399">
        <f>K24*12+N24</f>
        <v>70336</v>
      </c>
      <c r="P24" s="1400">
        <f>O24*B24+26180</f>
        <v>166852</v>
      </c>
      <c r="Q24" s="1403">
        <v>2</v>
      </c>
      <c r="R24" s="1409">
        <f>1262/2</f>
        <v>631</v>
      </c>
      <c r="S24" s="1409">
        <f>10320/2</f>
        <v>5160</v>
      </c>
      <c r="T24" s="1409"/>
      <c r="U24" s="1409"/>
      <c r="V24" s="1409"/>
      <c r="W24" s="1409"/>
      <c r="X24" s="1409"/>
      <c r="Y24" s="1409"/>
      <c r="Z24" s="1399">
        <f>SUM(R24:Y24)</f>
        <v>5791</v>
      </c>
      <c r="AA24" s="1399">
        <v>1000</v>
      </c>
      <c r="AB24" s="1399"/>
      <c r="AC24" s="1399">
        <f>SUM(AA24:AB24)</f>
        <v>1000</v>
      </c>
      <c r="AD24" s="1399">
        <f>Z24*12+AC24</f>
        <v>70492</v>
      </c>
      <c r="AE24" s="1400">
        <f>AD24*Q24+45530</f>
        <v>186514</v>
      </c>
      <c r="AF24" s="1401">
        <f t="shared" si="4"/>
        <v>156</v>
      </c>
      <c r="AG24" s="1400">
        <f t="shared" si="4"/>
        <v>19662</v>
      </c>
      <c r="AH24" s="1403">
        <v>2</v>
      </c>
      <c r="AI24" s="1402">
        <f>140983+33758</f>
        <v>174741</v>
      </c>
    </row>
    <row r="25" spans="1:35" s="734" customFormat="1" ht="14.1" customHeight="1">
      <c r="A25" s="1342" t="s">
        <v>1306</v>
      </c>
      <c r="B25" s="1398">
        <v>1</v>
      </c>
      <c r="C25" s="1409">
        <v>529</v>
      </c>
      <c r="D25" s="1409">
        <v>4760</v>
      </c>
      <c r="E25" s="1409"/>
      <c r="F25" s="1409"/>
      <c r="G25" s="1409"/>
      <c r="H25" s="1409"/>
      <c r="I25" s="1409"/>
      <c r="J25" s="1409"/>
      <c r="K25" s="1399">
        <f>SUM(C25:J25)</f>
        <v>5289</v>
      </c>
      <c r="L25" s="1399">
        <v>1000</v>
      </c>
      <c r="M25" s="1409"/>
      <c r="N25" s="1399">
        <f>SUM(L25:M25)</f>
        <v>1000</v>
      </c>
      <c r="O25" s="1399">
        <f>K25*12+N25</f>
        <v>64468</v>
      </c>
      <c r="P25" s="1400">
        <f>O25*B25+13090</f>
        <v>77558</v>
      </c>
      <c r="Q25" s="1403">
        <v>1</v>
      </c>
      <c r="R25" s="1409">
        <v>599</v>
      </c>
      <c r="S25" s="1409">
        <v>4760</v>
      </c>
      <c r="T25" s="1409"/>
      <c r="U25" s="1409"/>
      <c r="V25" s="1409"/>
      <c r="W25" s="1409"/>
      <c r="X25" s="1409"/>
      <c r="Y25" s="1409"/>
      <c r="Z25" s="1399">
        <f>SUM(R25:Y25)</f>
        <v>5359</v>
      </c>
      <c r="AA25" s="1399">
        <v>1000</v>
      </c>
      <c r="AB25" s="1399"/>
      <c r="AC25" s="1399">
        <f>SUM(AA25:AB25)</f>
        <v>1000</v>
      </c>
      <c r="AD25" s="1399">
        <f>Z25*12+AC25</f>
        <v>65308</v>
      </c>
      <c r="AE25" s="1400">
        <f>AD25*Q25+22765</f>
        <v>88073</v>
      </c>
      <c r="AF25" s="1401">
        <f t="shared" si="4"/>
        <v>840</v>
      </c>
      <c r="AG25" s="1400">
        <f t="shared" si="4"/>
        <v>10515</v>
      </c>
      <c r="AH25" s="1403">
        <v>1</v>
      </c>
      <c r="AI25" s="1402">
        <f>65310+16879</f>
        <v>82189</v>
      </c>
    </row>
    <row r="26" spans="1:35" s="734" customFormat="1" ht="12.75">
      <c r="A26" s="1415"/>
      <c r="B26" s="1413"/>
      <c r="C26" s="1414"/>
      <c r="D26" s="1414"/>
      <c r="E26" s="1414"/>
      <c r="F26" s="1414"/>
      <c r="G26" s="1414"/>
      <c r="H26" s="1414"/>
      <c r="I26" s="1414"/>
      <c r="J26" s="1414"/>
      <c r="K26" s="1414"/>
      <c r="L26" s="1414"/>
      <c r="M26" s="1414"/>
      <c r="N26" s="1414"/>
      <c r="O26" s="1414"/>
      <c r="P26" s="1408"/>
      <c r="Q26" s="1407"/>
      <c r="R26" s="1414"/>
      <c r="S26" s="1414"/>
      <c r="T26" s="1414"/>
      <c r="U26" s="1414"/>
      <c r="V26" s="1414"/>
      <c r="W26" s="1414"/>
      <c r="X26" s="1414"/>
      <c r="Y26" s="1414"/>
      <c r="Z26" s="1414"/>
      <c r="AA26" s="1414"/>
      <c r="AB26" s="1414"/>
      <c r="AC26" s="1414"/>
      <c r="AD26" s="1414"/>
      <c r="AE26" s="1408"/>
      <c r="AF26" s="1407"/>
      <c r="AG26" s="1408"/>
      <c r="AH26" s="1407"/>
      <c r="AI26" s="1408"/>
    </row>
    <row r="27" spans="1:35" s="734" customFormat="1" ht="15.95" customHeight="1">
      <c r="A27" s="1430" t="s">
        <v>5</v>
      </c>
      <c r="B27" s="1515">
        <f t="shared" ref="B27:AI27" si="5">SUM(B28:B32)</f>
        <v>48</v>
      </c>
      <c r="C27" s="1512">
        <f t="shared" si="5"/>
        <v>2601.8071428571429</v>
      </c>
      <c r="D27" s="1512">
        <f t="shared" si="5"/>
        <v>16293.103448275862</v>
      </c>
      <c r="E27" s="1512">
        <f t="shared" si="5"/>
        <v>0</v>
      </c>
      <c r="F27" s="1512">
        <f t="shared" si="5"/>
        <v>0</v>
      </c>
      <c r="G27" s="1512">
        <f t="shared" si="5"/>
        <v>0</v>
      </c>
      <c r="H27" s="1512">
        <f t="shared" si="5"/>
        <v>0</v>
      </c>
      <c r="I27" s="1512">
        <f t="shared" si="5"/>
        <v>0</v>
      </c>
      <c r="J27" s="1512">
        <f t="shared" si="5"/>
        <v>0</v>
      </c>
      <c r="K27" s="1512">
        <f t="shared" si="5"/>
        <v>18894.910591133004</v>
      </c>
      <c r="L27" s="1512">
        <f t="shared" si="5"/>
        <v>5000</v>
      </c>
      <c r="M27" s="1512">
        <f t="shared" si="5"/>
        <v>0</v>
      </c>
      <c r="N27" s="1512">
        <f t="shared" si="5"/>
        <v>5000</v>
      </c>
      <c r="O27" s="1512">
        <f t="shared" si="5"/>
        <v>231738.92709359605</v>
      </c>
      <c r="P27" s="1513">
        <f t="shared" si="5"/>
        <v>2880592.2857142854</v>
      </c>
      <c r="Q27" s="1514">
        <f t="shared" si="5"/>
        <v>46</v>
      </c>
      <c r="R27" s="1512">
        <f t="shared" si="5"/>
        <v>2813.7200000000003</v>
      </c>
      <c r="S27" s="1512">
        <f t="shared" si="5"/>
        <v>19952.307692307691</v>
      </c>
      <c r="T27" s="1512">
        <f t="shared" si="5"/>
        <v>0</v>
      </c>
      <c r="U27" s="1512">
        <f t="shared" si="5"/>
        <v>0</v>
      </c>
      <c r="V27" s="1512">
        <f t="shared" si="5"/>
        <v>0</v>
      </c>
      <c r="W27" s="1512">
        <f t="shared" si="5"/>
        <v>0</v>
      </c>
      <c r="X27" s="1512">
        <f t="shared" si="5"/>
        <v>0</v>
      </c>
      <c r="Y27" s="1512">
        <f t="shared" si="5"/>
        <v>0</v>
      </c>
      <c r="Z27" s="1512">
        <f t="shared" si="5"/>
        <v>22766.027692307693</v>
      </c>
      <c r="AA27" s="1512">
        <f t="shared" si="5"/>
        <v>5000</v>
      </c>
      <c r="AB27" s="1512">
        <f t="shared" si="5"/>
        <v>0</v>
      </c>
      <c r="AC27" s="1512">
        <f t="shared" si="5"/>
        <v>5000</v>
      </c>
      <c r="AD27" s="1512">
        <f t="shared" si="5"/>
        <v>278192.33230769227</v>
      </c>
      <c r="AE27" s="1513">
        <f t="shared" si="5"/>
        <v>3311281.04</v>
      </c>
      <c r="AF27" s="1514">
        <f t="shared" si="5"/>
        <v>46453.405214096259</v>
      </c>
      <c r="AG27" s="1513">
        <f t="shared" si="5"/>
        <v>430688.75428571436</v>
      </c>
      <c r="AH27" s="1514">
        <f t="shared" si="5"/>
        <v>46</v>
      </c>
      <c r="AI27" s="1513">
        <f t="shared" si="5"/>
        <v>2944912</v>
      </c>
    </row>
    <row r="28" spans="1:35" s="734" customFormat="1" ht="14.1" customHeight="1">
      <c r="A28" s="1502" t="s">
        <v>1307</v>
      </c>
      <c r="B28" s="1503">
        <v>1</v>
      </c>
      <c r="C28" s="1504">
        <v>547</v>
      </c>
      <c r="D28" s="1504">
        <v>3660</v>
      </c>
      <c r="E28" s="1504"/>
      <c r="F28" s="1504"/>
      <c r="G28" s="1504"/>
      <c r="H28" s="1504"/>
      <c r="I28" s="1504"/>
      <c r="J28" s="1504"/>
      <c r="K28" s="1505">
        <f>SUM(C28:J28)</f>
        <v>4207</v>
      </c>
      <c r="L28" s="1505">
        <v>1000</v>
      </c>
      <c r="M28" s="1504"/>
      <c r="N28" s="1505">
        <f>SUM(L28:M28)</f>
        <v>1000</v>
      </c>
      <c r="O28" s="1505">
        <f>K28*12+N28</f>
        <v>51484</v>
      </c>
      <c r="P28" s="1506">
        <f>O28*B28+13090</f>
        <v>64574</v>
      </c>
      <c r="Q28" s="1507">
        <v>2</v>
      </c>
      <c r="R28" s="1504">
        <f>1150/2</f>
        <v>575</v>
      </c>
      <c r="S28" s="1504">
        <v>7320</v>
      </c>
      <c r="T28" s="1504"/>
      <c r="U28" s="1504"/>
      <c r="V28" s="1504"/>
      <c r="W28" s="1504"/>
      <c r="X28" s="1504"/>
      <c r="Y28" s="1504"/>
      <c r="Z28" s="1505">
        <f>SUM(R28:Y28)</f>
        <v>7895</v>
      </c>
      <c r="AA28" s="1505">
        <v>1000</v>
      </c>
      <c r="AB28" s="1505"/>
      <c r="AC28" s="1505">
        <f>SUM(AA28:AB28)</f>
        <v>1000</v>
      </c>
      <c r="AD28" s="1505">
        <f>Z28*12+AC28</f>
        <v>95740</v>
      </c>
      <c r="AE28" s="1506">
        <f>AD28*Q28+45530</f>
        <v>237010</v>
      </c>
      <c r="AF28" s="1508">
        <f t="shared" ref="AF28:AG32" si="6">AD28-O28</f>
        <v>44256</v>
      </c>
      <c r="AG28" s="1506">
        <f t="shared" si="6"/>
        <v>172436</v>
      </c>
      <c r="AH28" s="1507">
        <v>2</v>
      </c>
      <c r="AI28" s="1509">
        <f>103639+33758</f>
        <v>137397</v>
      </c>
    </row>
    <row r="29" spans="1:35" s="734" customFormat="1" ht="14.1" customHeight="1">
      <c r="A29" s="1342" t="s">
        <v>1308</v>
      </c>
      <c r="B29" s="1398">
        <v>12</v>
      </c>
      <c r="C29" s="1409">
        <v>558.25</v>
      </c>
      <c r="D29" s="1409">
        <v>3460</v>
      </c>
      <c r="E29" s="1409"/>
      <c r="F29" s="1409"/>
      <c r="G29" s="1409"/>
      <c r="H29" s="1409"/>
      <c r="I29" s="1409"/>
      <c r="J29" s="1409"/>
      <c r="K29" s="1399">
        <f>SUM(C29:J29)</f>
        <v>4018.25</v>
      </c>
      <c r="L29" s="1399">
        <v>1000</v>
      </c>
      <c r="M29" s="1409"/>
      <c r="N29" s="1399">
        <f>SUM(L29:M29)</f>
        <v>1000</v>
      </c>
      <c r="O29" s="1399">
        <f>K29*12+N29</f>
        <v>49219</v>
      </c>
      <c r="P29" s="1400">
        <f>O29*B29+157080</f>
        <v>747708</v>
      </c>
      <c r="Q29" s="1403">
        <v>12</v>
      </c>
      <c r="R29" s="1409">
        <f>6864/12</f>
        <v>572</v>
      </c>
      <c r="S29" s="1409">
        <f>41520/12</f>
        <v>3460</v>
      </c>
      <c r="T29" s="1409"/>
      <c r="U29" s="1409"/>
      <c r="V29" s="1409"/>
      <c r="W29" s="1409"/>
      <c r="X29" s="1409"/>
      <c r="Y29" s="1409"/>
      <c r="Z29" s="1399">
        <f>SUM(R29:Y29)</f>
        <v>4032</v>
      </c>
      <c r="AA29" s="1399">
        <v>1000</v>
      </c>
      <c r="AB29" s="1399"/>
      <c r="AC29" s="1399">
        <f>SUM(AA29:AB29)</f>
        <v>1000</v>
      </c>
      <c r="AD29" s="1399">
        <f>Z29*12+AC29</f>
        <v>49384</v>
      </c>
      <c r="AE29" s="1400">
        <f>AD29*Q29+273180</f>
        <v>865788</v>
      </c>
      <c r="AF29" s="1401">
        <f t="shared" si="6"/>
        <v>165</v>
      </c>
      <c r="AG29" s="1400">
        <f t="shared" si="6"/>
        <v>118080</v>
      </c>
      <c r="AH29" s="1403">
        <v>12</v>
      </c>
      <c r="AI29" s="1402">
        <f>592599+202548</f>
        <v>795147</v>
      </c>
    </row>
    <row r="30" spans="1:35" s="734" customFormat="1" ht="14.1" customHeight="1">
      <c r="A30" s="1342" t="s">
        <v>1309</v>
      </c>
      <c r="B30" s="1398">
        <v>29</v>
      </c>
      <c r="C30" s="1409">
        <v>542.35714285714289</v>
      </c>
      <c r="D30" s="1409">
        <v>3253.1034482758619</v>
      </c>
      <c r="E30" s="1409"/>
      <c r="F30" s="1409"/>
      <c r="G30" s="1409"/>
      <c r="H30" s="1409"/>
      <c r="I30" s="1409"/>
      <c r="J30" s="1409"/>
      <c r="K30" s="1399">
        <f>SUM(C30:J30)</f>
        <v>3795.4605911330045</v>
      </c>
      <c r="L30" s="1399">
        <v>1000</v>
      </c>
      <c r="M30" s="1409"/>
      <c r="N30" s="1399">
        <f>SUM(L30:M30)</f>
        <v>1000</v>
      </c>
      <c r="O30" s="1399">
        <f>K30*12+N30</f>
        <v>46545.527093596058</v>
      </c>
      <c r="P30" s="1400">
        <f>O30*B30+379610</f>
        <v>1729430.2857142857</v>
      </c>
      <c r="Q30" s="1403">
        <v>26</v>
      </c>
      <c r="R30" s="1409">
        <f>14073/25</f>
        <v>562.91999999999996</v>
      </c>
      <c r="S30" s="1409">
        <f>84560/26</f>
        <v>3252.3076923076924</v>
      </c>
      <c r="T30" s="1409"/>
      <c r="U30" s="1409"/>
      <c r="V30" s="1409"/>
      <c r="W30" s="1409"/>
      <c r="X30" s="1409"/>
      <c r="Y30" s="1409"/>
      <c r="Z30" s="1399">
        <f>SUM(R30:Y30)</f>
        <v>3815.2276923076925</v>
      </c>
      <c r="AA30" s="1399">
        <v>1000</v>
      </c>
      <c r="AB30" s="1399"/>
      <c r="AC30" s="1399">
        <f>SUM(AA30:AB30)</f>
        <v>1000</v>
      </c>
      <c r="AD30" s="1399">
        <f>Z30*12+AC30</f>
        <v>46782.732307692306</v>
      </c>
      <c r="AE30" s="1400">
        <f>AD30*26+591890</f>
        <v>1808241.04</v>
      </c>
      <c r="AF30" s="1401">
        <f t="shared" si="6"/>
        <v>237.2052140962478</v>
      </c>
      <c r="AG30" s="1400">
        <f t="shared" si="6"/>
        <v>78810.754285714356</v>
      </c>
      <c r="AH30" s="1403">
        <v>26</v>
      </c>
      <c r="AI30" s="1402">
        <f>1208590+438854</f>
        <v>1647444</v>
      </c>
    </row>
    <row r="31" spans="1:35" s="734" customFormat="1" ht="14.1" customHeight="1">
      <c r="A31" s="1342" t="s">
        <v>1310</v>
      </c>
      <c r="B31" s="1398">
        <v>5</v>
      </c>
      <c r="C31" s="1409">
        <v>520.20000000000005</v>
      </c>
      <c r="D31" s="1409">
        <v>3060</v>
      </c>
      <c r="E31" s="1409"/>
      <c r="F31" s="1409"/>
      <c r="G31" s="1409"/>
      <c r="H31" s="1409"/>
      <c r="I31" s="1409"/>
      <c r="J31" s="1409"/>
      <c r="K31" s="1399">
        <f>SUM(C31:J31)</f>
        <v>3580.2</v>
      </c>
      <c r="L31" s="1399">
        <v>1000</v>
      </c>
      <c r="M31" s="1409"/>
      <c r="N31" s="1399">
        <f>SUM(L31:M31)</f>
        <v>1000</v>
      </c>
      <c r="O31" s="1399">
        <f>K31*12+N31</f>
        <v>43962.399999999994</v>
      </c>
      <c r="P31" s="1400">
        <f>O31*B31+65450</f>
        <v>285262</v>
      </c>
      <c r="Q31" s="1403">
        <v>5</v>
      </c>
      <c r="R31" s="1410">
        <f>2759/5</f>
        <v>551.79999999999995</v>
      </c>
      <c r="S31" s="1410">
        <f>15300/5</f>
        <v>3060</v>
      </c>
      <c r="T31" s="1409"/>
      <c r="U31" s="1409"/>
      <c r="V31" s="1409"/>
      <c r="W31" s="1409"/>
      <c r="X31" s="1409"/>
      <c r="Y31" s="1409"/>
      <c r="Z31" s="1399">
        <f>SUM(R31:Y31)</f>
        <v>3611.8</v>
      </c>
      <c r="AA31" s="1399">
        <v>1000</v>
      </c>
      <c r="AB31" s="1399"/>
      <c r="AC31" s="1399">
        <f>SUM(AA31:AB31)</f>
        <v>1000</v>
      </c>
      <c r="AD31" s="1399">
        <f>Z31*12+AC31</f>
        <v>44341.600000000006</v>
      </c>
      <c r="AE31" s="1400">
        <f>AD31*Q31+113825</f>
        <v>335533</v>
      </c>
      <c r="AF31" s="1401">
        <f t="shared" si="6"/>
        <v>379.20000000001164</v>
      </c>
      <c r="AG31" s="1400">
        <f t="shared" si="6"/>
        <v>50271</v>
      </c>
      <c r="AH31" s="1403">
        <v>5</v>
      </c>
      <c r="AI31" s="1402">
        <f>221701+84395</f>
        <v>306096</v>
      </c>
    </row>
    <row r="32" spans="1:35" s="734" customFormat="1" ht="14.1" customHeight="1">
      <c r="A32" s="1342" t="s">
        <v>1311</v>
      </c>
      <c r="B32" s="1398">
        <v>1</v>
      </c>
      <c r="C32" s="1409">
        <v>434</v>
      </c>
      <c r="D32" s="1409">
        <v>2860</v>
      </c>
      <c r="E32" s="1409"/>
      <c r="F32" s="1409"/>
      <c r="G32" s="1409"/>
      <c r="H32" s="1409"/>
      <c r="I32" s="1409"/>
      <c r="J32" s="1409"/>
      <c r="K32" s="1399">
        <f>SUM(C32:J32)</f>
        <v>3294</v>
      </c>
      <c r="L32" s="1399">
        <v>1000</v>
      </c>
      <c r="M32" s="1409"/>
      <c r="N32" s="1399">
        <f>SUM(L32:M32)</f>
        <v>1000</v>
      </c>
      <c r="O32" s="1399">
        <f>K32*12+N32</f>
        <v>40528</v>
      </c>
      <c r="P32" s="1400">
        <f>O32*B32+13090</f>
        <v>53618</v>
      </c>
      <c r="Q32" s="1403">
        <v>1</v>
      </c>
      <c r="R32" s="1410">
        <f>552/1</f>
        <v>552</v>
      </c>
      <c r="S32" s="1410">
        <f>2860/1</f>
        <v>2860</v>
      </c>
      <c r="T32" s="1409"/>
      <c r="U32" s="1409"/>
      <c r="V32" s="1409"/>
      <c r="W32" s="1409"/>
      <c r="X32" s="1409"/>
      <c r="Y32" s="1409"/>
      <c r="Z32" s="1399">
        <f>SUM(R32:Y32)</f>
        <v>3412</v>
      </c>
      <c r="AA32" s="1399">
        <v>1000</v>
      </c>
      <c r="AB32" s="1399"/>
      <c r="AC32" s="1399">
        <f>SUM(AA32:AB32)</f>
        <v>1000</v>
      </c>
      <c r="AD32" s="1399">
        <f>Z32*12+AC32</f>
        <v>41944</v>
      </c>
      <c r="AE32" s="1400">
        <f>AD32*Q32+22765</f>
        <v>64709</v>
      </c>
      <c r="AF32" s="1401">
        <f t="shared" si="6"/>
        <v>1416</v>
      </c>
      <c r="AG32" s="1400">
        <f t="shared" si="6"/>
        <v>11091</v>
      </c>
      <c r="AH32" s="1403">
        <v>1</v>
      </c>
      <c r="AI32" s="1402">
        <f>41949+16879</f>
        <v>58828</v>
      </c>
    </row>
    <row r="33" spans="1:35" s="734" customFormat="1" ht="12.75">
      <c r="A33" s="1415"/>
      <c r="B33" s="1413"/>
      <c r="C33" s="1414"/>
      <c r="D33" s="1414"/>
      <c r="E33" s="1414"/>
      <c r="F33" s="1414"/>
      <c r="G33" s="1414"/>
      <c r="H33" s="1414"/>
      <c r="I33" s="1414"/>
      <c r="J33" s="1414"/>
      <c r="K33" s="1414"/>
      <c r="L33" s="1414"/>
      <c r="M33" s="1414"/>
      <c r="N33" s="1414"/>
      <c r="O33" s="1414"/>
      <c r="P33" s="1408"/>
      <c r="Q33" s="1407"/>
      <c r="R33" s="1414"/>
      <c r="S33" s="1414"/>
      <c r="T33" s="1414"/>
      <c r="U33" s="1414"/>
      <c r="V33" s="1414"/>
      <c r="W33" s="1414"/>
      <c r="X33" s="1414"/>
      <c r="Y33" s="1414"/>
      <c r="Z33" s="1414"/>
      <c r="AA33" s="1414"/>
      <c r="AB33" s="1414"/>
      <c r="AC33" s="1414"/>
      <c r="AD33" s="1414"/>
      <c r="AE33" s="1408"/>
      <c r="AF33" s="1407"/>
      <c r="AG33" s="1408"/>
      <c r="AH33" s="1416"/>
      <c r="AI33" s="1417"/>
    </row>
    <row r="34" spans="1:35" s="734" customFormat="1" ht="15.95" customHeight="1">
      <c r="A34" s="1430" t="s">
        <v>6</v>
      </c>
      <c r="B34" s="1515">
        <f t="shared" ref="B34:AI34" si="7">SUM(B35:B37)</f>
        <v>4</v>
      </c>
      <c r="C34" s="1512">
        <f t="shared" si="7"/>
        <v>1526</v>
      </c>
      <c r="D34" s="1512">
        <f t="shared" si="7"/>
        <v>7080</v>
      </c>
      <c r="E34" s="1512">
        <f t="shared" si="7"/>
        <v>0</v>
      </c>
      <c r="F34" s="1512">
        <f t="shared" si="7"/>
        <v>0</v>
      </c>
      <c r="G34" s="1512">
        <f t="shared" si="7"/>
        <v>0</v>
      </c>
      <c r="H34" s="1512">
        <f t="shared" si="7"/>
        <v>0</v>
      </c>
      <c r="I34" s="1512">
        <f t="shared" si="7"/>
        <v>0</v>
      </c>
      <c r="J34" s="1512">
        <f t="shared" si="7"/>
        <v>0</v>
      </c>
      <c r="K34" s="1512">
        <f t="shared" si="7"/>
        <v>8606</v>
      </c>
      <c r="L34" s="1512">
        <f t="shared" si="7"/>
        <v>3000</v>
      </c>
      <c r="M34" s="1512">
        <f t="shared" si="7"/>
        <v>0</v>
      </c>
      <c r="N34" s="1512">
        <f t="shared" si="7"/>
        <v>3000</v>
      </c>
      <c r="O34" s="1512">
        <f t="shared" si="7"/>
        <v>106272</v>
      </c>
      <c r="P34" s="1513">
        <f t="shared" si="7"/>
        <v>195428</v>
      </c>
      <c r="Q34" s="1514">
        <f t="shared" si="7"/>
        <v>3</v>
      </c>
      <c r="R34" s="1512">
        <f t="shared" si="7"/>
        <v>1073</v>
      </c>
      <c r="S34" s="1512">
        <f t="shared" si="7"/>
        <v>4720</v>
      </c>
      <c r="T34" s="1512">
        <f t="shared" si="7"/>
        <v>0</v>
      </c>
      <c r="U34" s="1512">
        <f t="shared" si="7"/>
        <v>0</v>
      </c>
      <c r="V34" s="1512">
        <f t="shared" si="7"/>
        <v>0</v>
      </c>
      <c r="W34" s="1512">
        <f t="shared" si="7"/>
        <v>0</v>
      </c>
      <c r="X34" s="1512">
        <f t="shared" si="7"/>
        <v>0</v>
      </c>
      <c r="Y34" s="1512">
        <f t="shared" si="7"/>
        <v>0</v>
      </c>
      <c r="Z34" s="1512">
        <f t="shared" si="7"/>
        <v>5793</v>
      </c>
      <c r="AA34" s="1512">
        <f t="shared" si="7"/>
        <v>2000</v>
      </c>
      <c r="AB34" s="1512">
        <f t="shared" si="7"/>
        <v>0</v>
      </c>
      <c r="AC34" s="1512">
        <f t="shared" si="7"/>
        <v>2000</v>
      </c>
      <c r="AD34" s="1512">
        <f t="shared" si="7"/>
        <v>71516</v>
      </c>
      <c r="AE34" s="1513">
        <f t="shared" si="7"/>
        <v>176955</v>
      </c>
      <c r="AF34" s="1514">
        <f t="shared" si="7"/>
        <v>-34756</v>
      </c>
      <c r="AG34" s="1513">
        <f t="shared" si="7"/>
        <v>-18473</v>
      </c>
      <c r="AH34" s="1514">
        <f t="shared" si="7"/>
        <v>3</v>
      </c>
      <c r="AI34" s="1513">
        <f t="shared" si="7"/>
        <v>159302</v>
      </c>
    </row>
    <row r="35" spans="1:35" s="734" customFormat="1" ht="14.1" customHeight="1">
      <c r="A35" s="1502" t="s">
        <v>1312</v>
      </c>
      <c r="B35" s="1503">
        <v>2</v>
      </c>
      <c r="C35" s="1504">
        <v>523</v>
      </c>
      <c r="D35" s="1504">
        <v>2460</v>
      </c>
      <c r="E35" s="1504"/>
      <c r="F35" s="1504"/>
      <c r="G35" s="1504"/>
      <c r="H35" s="1504"/>
      <c r="I35" s="1504"/>
      <c r="J35" s="1504"/>
      <c r="K35" s="1505">
        <f>SUM(C35:J35)</f>
        <v>2983</v>
      </c>
      <c r="L35" s="1505">
        <v>1000</v>
      </c>
      <c r="M35" s="1504"/>
      <c r="N35" s="1505">
        <f>SUM(L35:M35)</f>
        <v>1000</v>
      </c>
      <c r="O35" s="1505">
        <f>K35*12+N35</f>
        <v>36796</v>
      </c>
      <c r="P35" s="1506">
        <f>O35*B35+26180</f>
        <v>99772</v>
      </c>
      <c r="Q35" s="1507">
        <v>2</v>
      </c>
      <c r="R35" s="1504">
        <f>1104/2</f>
        <v>552</v>
      </c>
      <c r="S35" s="1504">
        <f>4920/2</f>
        <v>2460</v>
      </c>
      <c r="T35" s="1504"/>
      <c r="U35" s="1504"/>
      <c r="V35" s="1504"/>
      <c r="W35" s="1504"/>
      <c r="X35" s="1504"/>
      <c r="Y35" s="1504"/>
      <c r="Z35" s="1505">
        <f>SUM(R35:Y35)</f>
        <v>3012</v>
      </c>
      <c r="AA35" s="1505">
        <v>1000</v>
      </c>
      <c r="AB35" s="1505"/>
      <c r="AC35" s="1505">
        <f>SUM(AA35:AB35)</f>
        <v>1000</v>
      </c>
      <c r="AD35" s="1505">
        <f>Z35*12+AC35</f>
        <v>37144</v>
      </c>
      <c r="AE35" s="1506">
        <f>AD35*Q35+45530</f>
        <v>119818</v>
      </c>
      <c r="AF35" s="1508">
        <f t="shared" ref="AF35:AG37" si="8">AD35-O35</f>
        <v>348</v>
      </c>
      <c r="AG35" s="1506">
        <f t="shared" si="8"/>
        <v>20046</v>
      </c>
      <c r="AH35" s="1507">
        <v>2</v>
      </c>
      <c r="AI35" s="1509">
        <f>74292+33758</f>
        <v>108050</v>
      </c>
    </row>
    <row r="36" spans="1:35" s="734" customFormat="1" ht="14.1" customHeight="1">
      <c r="A36" s="1342" t="s">
        <v>1313</v>
      </c>
      <c r="B36" s="1398">
        <v>1</v>
      </c>
      <c r="C36" s="1409">
        <v>508</v>
      </c>
      <c r="D36" s="1409">
        <v>2360</v>
      </c>
      <c r="E36" s="1409"/>
      <c r="F36" s="1409"/>
      <c r="G36" s="1409"/>
      <c r="H36" s="1409"/>
      <c r="I36" s="1409"/>
      <c r="J36" s="1409"/>
      <c r="K36" s="1399">
        <f>SUM(C36:J36)</f>
        <v>2868</v>
      </c>
      <c r="L36" s="1399">
        <v>1000</v>
      </c>
      <c r="M36" s="1409"/>
      <c r="N36" s="1399">
        <f>SUM(L36:M36)</f>
        <v>1000</v>
      </c>
      <c r="O36" s="1399">
        <f>K36*12+N36</f>
        <v>35416</v>
      </c>
      <c r="P36" s="1400">
        <f>O36*B36+13090</f>
        <v>48506</v>
      </c>
      <c r="Q36" s="1403">
        <v>0</v>
      </c>
      <c r="R36" s="1409">
        <v>0</v>
      </c>
      <c r="S36" s="1409">
        <v>0</v>
      </c>
      <c r="T36" s="1409"/>
      <c r="U36" s="1409"/>
      <c r="V36" s="1409"/>
      <c r="W36" s="1409"/>
      <c r="X36" s="1409"/>
      <c r="Y36" s="1409"/>
      <c r="Z36" s="1399">
        <f>SUM(R36:Y36)</f>
        <v>0</v>
      </c>
      <c r="AA36" s="1409">
        <v>0</v>
      </c>
      <c r="AB36" s="1409"/>
      <c r="AC36" s="1399">
        <f>SUM(AA36:AB36)</f>
        <v>0</v>
      </c>
      <c r="AD36" s="1399">
        <f>Z36*12+AC36</f>
        <v>0</v>
      </c>
      <c r="AE36" s="1400">
        <f>AD36*Q36</f>
        <v>0</v>
      </c>
      <c r="AF36" s="1401">
        <f t="shared" si="8"/>
        <v>-35416</v>
      </c>
      <c r="AG36" s="1400">
        <f t="shared" si="8"/>
        <v>-48506</v>
      </c>
      <c r="AH36" s="1403">
        <v>0</v>
      </c>
      <c r="AI36" s="1402">
        <v>0</v>
      </c>
    </row>
    <row r="37" spans="1:35" s="734" customFormat="1" ht="14.1" customHeight="1">
      <c r="A37" s="1342" t="s">
        <v>1314</v>
      </c>
      <c r="B37" s="1398">
        <v>1</v>
      </c>
      <c r="C37" s="1409">
        <v>495</v>
      </c>
      <c r="D37" s="1409">
        <v>2260</v>
      </c>
      <c r="E37" s="1409"/>
      <c r="F37" s="1409"/>
      <c r="G37" s="1409"/>
      <c r="H37" s="1409"/>
      <c r="I37" s="1409"/>
      <c r="J37" s="1409"/>
      <c r="K37" s="1399">
        <f>SUM(C37:J37)</f>
        <v>2755</v>
      </c>
      <c r="L37" s="1399">
        <v>1000</v>
      </c>
      <c r="M37" s="1409"/>
      <c r="N37" s="1399">
        <f>SUM(L37:M37)</f>
        <v>1000</v>
      </c>
      <c r="O37" s="1399">
        <f>K37*12+N37</f>
        <v>34060</v>
      </c>
      <c r="P37" s="1400">
        <f>O37*B37+13090</f>
        <v>47150</v>
      </c>
      <c r="Q37" s="1403">
        <v>1</v>
      </c>
      <c r="R37" s="1409">
        <v>521</v>
      </c>
      <c r="S37" s="1409">
        <v>2260</v>
      </c>
      <c r="T37" s="1409"/>
      <c r="U37" s="1409"/>
      <c r="V37" s="1409"/>
      <c r="W37" s="1409"/>
      <c r="X37" s="1409"/>
      <c r="Y37" s="1409"/>
      <c r="Z37" s="1399">
        <f>SUM(R37:Y37)</f>
        <v>2781</v>
      </c>
      <c r="AA37" s="1399">
        <v>1000</v>
      </c>
      <c r="AB37" s="1399"/>
      <c r="AC37" s="1399">
        <f>SUM(AA37:AB37)</f>
        <v>1000</v>
      </c>
      <c r="AD37" s="1399">
        <f>Z37*12+AC37</f>
        <v>34372</v>
      </c>
      <c r="AE37" s="1400">
        <f>AD37*Q37+22765</f>
        <v>57137</v>
      </c>
      <c r="AF37" s="1401">
        <f t="shared" si="8"/>
        <v>312</v>
      </c>
      <c r="AG37" s="1400">
        <f t="shared" si="8"/>
        <v>9987</v>
      </c>
      <c r="AH37" s="1403">
        <v>1</v>
      </c>
      <c r="AI37" s="1402">
        <f>34373+16879</f>
        <v>51252</v>
      </c>
    </row>
    <row r="38" spans="1:35" s="1276" customFormat="1" ht="17.25" customHeight="1">
      <c r="A38" s="1415"/>
      <c r="B38" s="1413"/>
      <c r="C38" s="1414"/>
      <c r="D38" s="1414"/>
      <c r="E38" s="1414"/>
      <c r="F38" s="1414"/>
      <c r="G38" s="1414"/>
      <c r="H38" s="1414"/>
      <c r="I38" s="1414"/>
      <c r="J38" s="1414"/>
      <c r="K38" s="1414"/>
      <c r="L38" s="1414"/>
      <c r="M38" s="1414"/>
      <c r="N38" s="1414"/>
      <c r="O38" s="1414"/>
      <c r="P38" s="1408"/>
      <c r="Q38" s="1407"/>
      <c r="R38" s="1414"/>
      <c r="S38" s="1414"/>
      <c r="T38" s="1414"/>
      <c r="U38" s="1414"/>
      <c r="V38" s="1414"/>
      <c r="W38" s="1414"/>
      <c r="X38" s="1414"/>
      <c r="Y38" s="1414"/>
      <c r="Z38" s="1414"/>
      <c r="AA38" s="1414"/>
      <c r="AB38" s="1414"/>
      <c r="AC38" s="1414"/>
      <c r="AD38" s="1414"/>
      <c r="AE38" s="1408"/>
      <c r="AF38" s="1407"/>
      <c r="AG38" s="1408"/>
      <c r="AH38" s="1407"/>
      <c r="AI38" s="1408"/>
    </row>
    <row r="39" spans="1:35" s="734" customFormat="1" ht="15.95" customHeight="1">
      <c r="A39" s="1510" t="s">
        <v>67</v>
      </c>
      <c r="B39" s="1511">
        <f>SUM(B40)</f>
        <v>5</v>
      </c>
      <c r="C39" s="1512">
        <f t="shared" ref="C39:P39" si="9">SUM(C40:C40)</f>
        <v>3005</v>
      </c>
      <c r="D39" s="1512">
        <f t="shared" si="9"/>
        <v>0</v>
      </c>
      <c r="E39" s="1512">
        <f t="shared" si="9"/>
        <v>0</v>
      </c>
      <c r="F39" s="1512">
        <f t="shared" si="9"/>
        <v>0</v>
      </c>
      <c r="G39" s="1512">
        <f t="shared" si="9"/>
        <v>0</v>
      </c>
      <c r="H39" s="1512">
        <f t="shared" si="9"/>
        <v>0</v>
      </c>
      <c r="I39" s="1512">
        <f t="shared" si="9"/>
        <v>0</v>
      </c>
      <c r="J39" s="1512">
        <f t="shared" si="9"/>
        <v>0</v>
      </c>
      <c r="K39" s="1512">
        <f t="shared" si="9"/>
        <v>3005</v>
      </c>
      <c r="L39" s="1512">
        <f t="shared" si="9"/>
        <v>1000</v>
      </c>
      <c r="M39" s="1512">
        <f t="shared" si="9"/>
        <v>0</v>
      </c>
      <c r="N39" s="1512">
        <f t="shared" si="9"/>
        <v>1000</v>
      </c>
      <c r="O39" s="1512">
        <f t="shared" si="9"/>
        <v>37060</v>
      </c>
      <c r="P39" s="1513">
        <f t="shared" si="9"/>
        <v>67529</v>
      </c>
      <c r="Q39" s="1514">
        <f t="shared" ref="Q39:AH39" si="10">SUM(Q40:Q41)</f>
        <v>5</v>
      </c>
      <c r="R39" s="1512">
        <f t="shared" si="10"/>
        <v>3005</v>
      </c>
      <c r="S39" s="1512">
        <f t="shared" si="10"/>
        <v>0</v>
      </c>
      <c r="T39" s="1512">
        <f t="shared" si="10"/>
        <v>0</v>
      </c>
      <c r="U39" s="1512">
        <f t="shared" si="10"/>
        <v>0</v>
      </c>
      <c r="V39" s="1512">
        <f t="shared" si="10"/>
        <v>0</v>
      </c>
      <c r="W39" s="1512">
        <f t="shared" si="10"/>
        <v>0</v>
      </c>
      <c r="X39" s="1512">
        <f t="shared" si="10"/>
        <v>0</v>
      </c>
      <c r="Y39" s="1512">
        <f t="shared" si="10"/>
        <v>0</v>
      </c>
      <c r="Z39" s="1512">
        <f t="shared" si="10"/>
        <v>3005</v>
      </c>
      <c r="AA39" s="1512">
        <f t="shared" si="10"/>
        <v>1000</v>
      </c>
      <c r="AB39" s="1512">
        <f t="shared" si="10"/>
        <v>0</v>
      </c>
      <c r="AC39" s="1512">
        <f t="shared" si="10"/>
        <v>1000</v>
      </c>
      <c r="AD39" s="1512">
        <f t="shared" si="10"/>
        <v>37060</v>
      </c>
      <c r="AE39" s="1513">
        <f t="shared" si="10"/>
        <v>299228</v>
      </c>
      <c r="AF39" s="1514">
        <f t="shared" si="10"/>
        <v>0</v>
      </c>
      <c r="AG39" s="1513">
        <f t="shared" si="10"/>
        <v>231699</v>
      </c>
      <c r="AH39" s="1514">
        <f t="shared" si="10"/>
        <v>5</v>
      </c>
      <c r="AI39" s="1513">
        <f>SUM(AI40)</f>
        <v>270143</v>
      </c>
    </row>
    <row r="40" spans="1:35" s="734" customFormat="1" ht="14.1" customHeight="1">
      <c r="A40" s="1502" t="s">
        <v>1296</v>
      </c>
      <c r="B40" s="1503">
        <v>5</v>
      </c>
      <c r="C40" s="1504">
        <v>3005</v>
      </c>
      <c r="D40" s="1504"/>
      <c r="E40" s="1504"/>
      <c r="F40" s="1504"/>
      <c r="G40" s="1504"/>
      <c r="H40" s="1504"/>
      <c r="I40" s="1504"/>
      <c r="J40" s="1504"/>
      <c r="K40" s="1505">
        <f>SUM(C40:J40)</f>
        <v>3005</v>
      </c>
      <c r="L40" s="1505">
        <v>1000</v>
      </c>
      <c r="M40" s="1504"/>
      <c r="N40" s="1505">
        <f>SUM(L40:M40)</f>
        <v>1000</v>
      </c>
      <c r="O40" s="1505">
        <f>K40*12+N40</f>
        <v>37060</v>
      </c>
      <c r="P40" s="1506">
        <f>O40*B40+65450-183221</f>
        <v>67529</v>
      </c>
      <c r="Q40" s="1507">
        <v>5</v>
      </c>
      <c r="R40" s="1504">
        <v>3005</v>
      </c>
      <c r="S40" s="1504"/>
      <c r="T40" s="1504"/>
      <c r="U40" s="1504"/>
      <c r="V40" s="1504"/>
      <c r="W40" s="1504"/>
      <c r="X40" s="1504"/>
      <c r="Y40" s="1504"/>
      <c r="Z40" s="1505">
        <f>SUM(R40:Y40)</f>
        <v>3005</v>
      </c>
      <c r="AA40" s="1505">
        <v>1000</v>
      </c>
      <c r="AB40" s="1505"/>
      <c r="AC40" s="1505">
        <f>SUM(AA40:AB40)</f>
        <v>1000</v>
      </c>
      <c r="AD40" s="1505">
        <f>Z40*12+AC40</f>
        <v>37060</v>
      </c>
      <c r="AE40" s="1506">
        <f>AD40*Q40+113825+103</f>
        <v>299228</v>
      </c>
      <c r="AF40" s="1508">
        <f>AD40-O40</f>
        <v>0</v>
      </c>
      <c r="AG40" s="1506">
        <f>AE40-P40</f>
        <v>231699</v>
      </c>
      <c r="AH40" s="1507">
        <v>5</v>
      </c>
      <c r="AI40" s="1509">
        <f>185300+84395+448</f>
        <v>270143</v>
      </c>
    </row>
    <row r="41" spans="1:35" s="734" customFormat="1" ht="13.5" thickBot="1">
      <c r="A41" s="1343"/>
      <c r="B41" s="1411"/>
      <c r="C41" s="1404"/>
      <c r="D41" s="1404"/>
      <c r="E41" s="1404"/>
      <c r="F41" s="1404"/>
      <c r="G41" s="1404"/>
      <c r="H41" s="1404"/>
      <c r="I41" s="1404"/>
      <c r="J41" s="1404"/>
      <c r="K41" s="1404"/>
      <c r="L41" s="1404"/>
      <c r="M41" s="1404"/>
      <c r="N41" s="1404"/>
      <c r="O41" s="1404"/>
      <c r="P41" s="1405"/>
      <c r="Q41" s="1406"/>
      <c r="R41" s="1404"/>
      <c r="S41" s="1404"/>
      <c r="T41" s="1404"/>
      <c r="U41" s="1404"/>
      <c r="V41" s="1404"/>
      <c r="W41" s="1404"/>
      <c r="X41" s="1404"/>
      <c r="Y41" s="1404"/>
      <c r="Z41" s="1404"/>
      <c r="AA41" s="1404"/>
      <c r="AB41" s="1404"/>
      <c r="AC41" s="1404"/>
      <c r="AD41" s="1404"/>
      <c r="AE41" s="1405"/>
      <c r="AF41" s="1406"/>
      <c r="AG41" s="1405"/>
      <c r="AH41" s="1406"/>
      <c r="AI41" s="1405"/>
    </row>
    <row r="42" spans="1:35" s="1276" customFormat="1" ht="23.25" customHeight="1" thickBot="1">
      <c r="A42" s="1418" t="s">
        <v>0</v>
      </c>
      <c r="B42" s="1419">
        <f t="shared" ref="B42:AI42" si="11">B11</f>
        <v>122</v>
      </c>
      <c r="C42" s="1420">
        <f t="shared" si="11"/>
        <v>95368.238961038951</v>
      </c>
      <c r="D42" s="1420">
        <f t="shared" si="11"/>
        <v>66549.164054336463</v>
      </c>
      <c r="E42" s="1420">
        <f t="shared" si="11"/>
        <v>0</v>
      </c>
      <c r="F42" s="1420">
        <f t="shared" si="11"/>
        <v>0</v>
      </c>
      <c r="G42" s="1420">
        <f t="shared" si="11"/>
        <v>0</v>
      </c>
      <c r="H42" s="1420">
        <f t="shared" si="11"/>
        <v>0</v>
      </c>
      <c r="I42" s="1420">
        <f t="shared" si="11"/>
        <v>0</v>
      </c>
      <c r="J42" s="1420">
        <f t="shared" si="11"/>
        <v>0</v>
      </c>
      <c r="K42" s="1420">
        <f t="shared" si="11"/>
        <v>161917.40301537543</v>
      </c>
      <c r="L42" s="1420">
        <f t="shared" si="11"/>
        <v>182000</v>
      </c>
      <c r="M42" s="1420">
        <f t="shared" si="11"/>
        <v>0</v>
      </c>
      <c r="N42" s="1420">
        <f t="shared" si="11"/>
        <v>182000</v>
      </c>
      <c r="O42" s="1420">
        <f t="shared" si="11"/>
        <v>2125008.8361845054</v>
      </c>
      <c r="P42" s="1421">
        <f t="shared" si="11"/>
        <v>11154043.035714285</v>
      </c>
      <c r="Q42" s="1422">
        <f t="shared" si="11"/>
        <v>113</v>
      </c>
      <c r="R42" s="1420">
        <f t="shared" si="11"/>
        <v>95232.14815126051</v>
      </c>
      <c r="S42" s="1420">
        <f t="shared" si="11"/>
        <v>67742.699849170429</v>
      </c>
      <c r="T42" s="1420">
        <f t="shared" si="11"/>
        <v>0</v>
      </c>
      <c r="U42" s="1420">
        <f t="shared" si="11"/>
        <v>0</v>
      </c>
      <c r="V42" s="1420">
        <f t="shared" si="11"/>
        <v>0</v>
      </c>
      <c r="W42" s="1420">
        <f t="shared" si="11"/>
        <v>0</v>
      </c>
      <c r="X42" s="1420">
        <f t="shared" si="11"/>
        <v>0</v>
      </c>
      <c r="Y42" s="1420">
        <f t="shared" si="11"/>
        <v>0</v>
      </c>
      <c r="Z42" s="1420">
        <f t="shared" si="11"/>
        <v>162974.84800043094</v>
      </c>
      <c r="AA42" s="1420">
        <f t="shared" si="11"/>
        <v>181000</v>
      </c>
      <c r="AB42" s="1420">
        <f t="shared" si="11"/>
        <v>0</v>
      </c>
      <c r="AC42" s="1420">
        <f t="shared" si="11"/>
        <v>181000</v>
      </c>
      <c r="AD42" s="1420">
        <f t="shared" si="11"/>
        <v>2136698.1760051711</v>
      </c>
      <c r="AE42" s="1421">
        <f t="shared" si="11"/>
        <v>11716942.789999999</v>
      </c>
      <c r="AF42" s="1422">
        <f t="shared" si="11"/>
        <v>111785.08982066612</v>
      </c>
      <c r="AG42" s="1421">
        <f t="shared" si="11"/>
        <v>562899.75428571412</v>
      </c>
      <c r="AH42" s="1422">
        <f t="shared" si="11"/>
        <v>113</v>
      </c>
      <c r="AI42" s="1421">
        <f t="shared" si="11"/>
        <v>11543024</v>
      </c>
    </row>
    <row r="43" spans="1:35" s="734" customFormat="1" ht="12.75">
      <c r="A43" s="1257" t="s">
        <v>68</v>
      </c>
      <c r="B43" s="1259"/>
      <c r="C43" s="1255"/>
      <c r="D43" s="404"/>
      <c r="E43" s="404"/>
      <c r="F43" s="404"/>
      <c r="G43" s="404"/>
      <c r="H43" s="404"/>
      <c r="I43" s="404"/>
      <c r="J43" s="404"/>
      <c r="K43" s="404"/>
      <c r="L43" s="404"/>
      <c r="M43" s="404"/>
      <c r="N43" s="1296"/>
      <c r="O43" s="1296"/>
      <c r="P43" s="1296"/>
    </row>
    <row r="44" spans="1:35" s="734" customFormat="1" ht="12.75">
      <c r="A44" s="1255" t="s">
        <v>69</v>
      </c>
      <c r="B44" s="1258" t="s">
        <v>157</v>
      </c>
      <c r="C44" s="1257"/>
      <c r="D44" s="404"/>
      <c r="E44" s="404"/>
      <c r="F44" s="404"/>
      <c r="G44" s="404"/>
      <c r="H44" s="404"/>
      <c r="I44" s="404"/>
      <c r="J44" s="404"/>
      <c r="K44" s="404"/>
      <c r="L44" s="404"/>
      <c r="M44" s="404"/>
      <c r="N44" s="1268"/>
      <c r="O44" s="1268"/>
      <c r="P44" s="1268"/>
    </row>
    <row r="45" spans="1:35" s="734" customFormat="1" ht="12.75">
      <c r="A45" s="1255" t="s">
        <v>70</v>
      </c>
      <c r="B45" s="1256" t="s">
        <v>71</v>
      </c>
      <c r="C45" s="1255"/>
      <c r="D45" s="404"/>
      <c r="E45" s="404"/>
      <c r="F45" s="404"/>
      <c r="G45" s="404"/>
      <c r="H45" s="404"/>
      <c r="I45" s="404"/>
      <c r="J45" s="404"/>
      <c r="K45" s="404"/>
      <c r="L45" s="404"/>
      <c r="M45" s="404"/>
      <c r="N45" s="1268"/>
      <c r="O45" s="1268"/>
      <c r="P45" s="1268"/>
    </row>
    <row r="46" spans="1:35" s="734" customFormat="1" ht="12.75">
      <c r="A46" s="1255" t="s">
        <v>72</v>
      </c>
      <c r="B46" s="1256" t="s">
        <v>73</v>
      </c>
      <c r="C46" s="1255"/>
      <c r="D46" s="404"/>
      <c r="E46" s="404"/>
      <c r="F46" s="404"/>
      <c r="G46" s="404"/>
      <c r="H46" s="404"/>
      <c r="I46" s="404"/>
      <c r="J46" s="404"/>
      <c r="K46" s="404"/>
      <c r="L46" s="404"/>
      <c r="M46" s="404"/>
      <c r="N46" s="1268"/>
      <c r="O46" s="1268"/>
      <c r="P46" s="1268"/>
    </row>
    <row r="47" spans="1:35" s="734" customFormat="1" ht="12.75">
      <c r="A47" s="1255" t="s">
        <v>74</v>
      </c>
      <c r="B47" s="1256" t="s">
        <v>75</v>
      </c>
      <c r="C47" s="1255"/>
      <c r="D47" s="404"/>
      <c r="E47" s="404"/>
      <c r="F47" s="404"/>
      <c r="G47" s="404"/>
      <c r="H47" s="404"/>
      <c r="I47" s="404"/>
      <c r="J47" s="404"/>
      <c r="K47" s="404"/>
      <c r="L47" s="404"/>
      <c r="M47" s="404"/>
      <c r="N47" s="1268"/>
      <c r="O47" s="1268"/>
      <c r="P47" s="1268"/>
    </row>
    <row r="48" spans="1:35" s="734" customFormat="1" ht="12.75">
      <c r="A48" s="1255"/>
      <c r="B48" s="1256" t="s">
        <v>76</v>
      </c>
      <c r="C48" s="1255"/>
      <c r="D48" s="404"/>
      <c r="E48" s="404"/>
      <c r="F48" s="404"/>
      <c r="G48" s="404"/>
      <c r="H48" s="404"/>
      <c r="I48" s="404"/>
      <c r="J48" s="404"/>
      <c r="K48" s="404"/>
      <c r="L48" s="404"/>
      <c r="M48" s="404"/>
      <c r="N48" s="1268"/>
      <c r="O48" s="1268"/>
      <c r="P48" s="1268"/>
    </row>
    <row r="49" spans="1:16" s="734" customFormat="1" ht="12.75">
      <c r="A49" s="1256" t="s">
        <v>77</v>
      </c>
      <c r="B49" s="1256" t="s">
        <v>1328</v>
      </c>
      <c r="C49" s="1255"/>
      <c r="D49" s="404"/>
      <c r="E49" s="404"/>
      <c r="F49" s="404"/>
      <c r="G49" s="404"/>
      <c r="H49" s="404"/>
      <c r="I49" s="404"/>
      <c r="J49" s="404"/>
      <c r="K49" s="404"/>
      <c r="L49" s="404"/>
      <c r="M49" s="404"/>
      <c r="N49" s="1268"/>
      <c r="O49" s="1268"/>
      <c r="P49" s="1268"/>
    </row>
    <row r="50" spans="1:16" s="734" customFormat="1" ht="12.75">
      <c r="A50" s="1256"/>
      <c r="B50" s="1256" t="s">
        <v>78</v>
      </c>
      <c r="C50" s="1255"/>
      <c r="D50" s="404"/>
      <c r="E50" s="404"/>
      <c r="F50" s="404"/>
      <c r="G50" s="404"/>
      <c r="H50" s="404"/>
      <c r="I50" s="404"/>
      <c r="J50" s="404"/>
      <c r="K50" s="404"/>
      <c r="L50" s="404"/>
      <c r="M50" s="404"/>
      <c r="N50" s="1268"/>
      <c r="O50" s="1268"/>
      <c r="P50" s="1268"/>
    </row>
    <row r="51" spans="1:16" s="734" customFormat="1" ht="12.75">
      <c r="A51" s="1256"/>
      <c r="B51" s="1256" t="s">
        <v>79</v>
      </c>
      <c r="C51" s="1255"/>
      <c r="D51" s="404"/>
      <c r="E51" s="404"/>
      <c r="F51" s="404"/>
      <c r="G51" s="404"/>
      <c r="H51" s="404"/>
      <c r="I51" s="404"/>
      <c r="J51" s="404"/>
      <c r="K51" s="404"/>
      <c r="L51" s="404"/>
      <c r="M51" s="404"/>
      <c r="N51" s="1268"/>
      <c r="O51" s="1268"/>
      <c r="P51" s="1268"/>
    </row>
    <row r="52" spans="1:16" s="734" customFormat="1" ht="12.75">
      <c r="A52" s="1255"/>
      <c r="B52" s="1256" t="s">
        <v>80</v>
      </c>
      <c r="C52" s="1255"/>
      <c r="D52" s="404"/>
      <c r="E52" s="404"/>
      <c r="F52" s="404"/>
      <c r="G52" s="404"/>
      <c r="H52" s="404"/>
      <c r="I52" s="404"/>
      <c r="J52" s="404"/>
      <c r="K52" s="404"/>
      <c r="L52" s="404"/>
      <c r="M52" s="404"/>
      <c r="N52" s="1268"/>
      <c r="O52" s="1268"/>
      <c r="P52" s="1268"/>
    </row>
    <row r="53" spans="1:16" s="734" customFormat="1" ht="12.75">
      <c r="A53" s="1255" t="s">
        <v>182</v>
      </c>
      <c r="B53" s="1256" t="s">
        <v>183</v>
      </c>
      <c r="C53" s="1255"/>
      <c r="D53" s="404"/>
      <c r="E53" s="404"/>
      <c r="F53" s="404"/>
      <c r="G53" s="404"/>
      <c r="H53" s="404"/>
      <c r="I53" s="404"/>
      <c r="J53" s="404"/>
      <c r="K53" s="404"/>
      <c r="L53" s="404"/>
      <c r="M53" s="404"/>
      <c r="N53" s="1268"/>
      <c r="O53" s="1268"/>
      <c r="P53" s="1268"/>
    </row>
    <row r="54" spans="1:16" s="734" customFormat="1" ht="12.75">
      <c r="A54" s="1255" t="s">
        <v>184</v>
      </c>
      <c r="B54" s="1256" t="s">
        <v>153</v>
      </c>
      <c r="C54" s="1255"/>
      <c r="D54" s="404"/>
      <c r="E54" s="404"/>
      <c r="F54" s="404"/>
      <c r="G54" s="404"/>
      <c r="H54" s="404"/>
      <c r="I54" s="404"/>
      <c r="J54" s="404"/>
      <c r="K54" s="404"/>
      <c r="L54" s="404"/>
      <c r="M54" s="404"/>
      <c r="N54" s="1268"/>
      <c r="O54" s="1268"/>
      <c r="P54" s="1268"/>
    </row>
    <row r="55" spans="1:16" s="734" customFormat="1" ht="12.75">
      <c r="A55" s="1255" t="s">
        <v>185</v>
      </c>
      <c r="B55" s="1256" t="s">
        <v>1329</v>
      </c>
      <c r="C55" s="1255"/>
      <c r="D55" s="404"/>
      <c r="E55" s="404"/>
      <c r="F55" s="404"/>
      <c r="G55" s="404"/>
      <c r="H55" s="404"/>
      <c r="I55" s="404"/>
      <c r="J55" s="404"/>
      <c r="K55" s="404"/>
      <c r="L55" s="404"/>
      <c r="M55" s="404"/>
      <c r="N55" s="1268"/>
      <c r="O55" s="1268"/>
      <c r="P55" s="1268"/>
    </row>
    <row r="56" spans="1:16" s="734" customFormat="1" ht="12.75">
      <c r="A56" s="1255"/>
      <c r="B56" s="1256" t="s">
        <v>78</v>
      </c>
      <c r="C56" s="1255"/>
      <c r="D56" s="404"/>
      <c r="E56" s="404"/>
      <c r="F56" s="404"/>
      <c r="G56" s="404"/>
      <c r="H56" s="404"/>
      <c r="I56" s="404"/>
      <c r="J56" s="404"/>
      <c r="K56" s="404"/>
      <c r="L56" s="404"/>
      <c r="M56" s="404"/>
      <c r="N56" s="1268"/>
      <c r="O56" s="1268"/>
      <c r="P56" s="1268"/>
    </row>
    <row r="57" spans="1:16" s="734" customFormat="1" ht="12.75">
      <c r="A57" s="1255"/>
      <c r="B57" s="1256" t="s">
        <v>79</v>
      </c>
      <c r="C57" s="1255"/>
      <c r="D57" s="404"/>
      <c r="E57" s="404"/>
      <c r="F57" s="404"/>
      <c r="G57" s="404"/>
      <c r="H57" s="404"/>
      <c r="I57" s="404"/>
      <c r="J57" s="404"/>
      <c r="K57" s="404"/>
      <c r="L57" s="404"/>
      <c r="M57" s="404"/>
      <c r="N57" s="1268"/>
      <c r="O57" s="1268"/>
      <c r="P57" s="1268"/>
    </row>
    <row r="58" spans="1:16" s="734" customFormat="1" ht="12.75">
      <c r="A58" s="1255"/>
      <c r="B58" s="1256" t="s">
        <v>117</v>
      </c>
      <c r="C58" s="1255"/>
      <c r="D58" s="404"/>
      <c r="E58" s="404"/>
      <c r="F58" s="404"/>
      <c r="G58" s="404"/>
      <c r="H58" s="404"/>
      <c r="I58" s="404"/>
      <c r="J58" s="404"/>
      <c r="K58" s="404"/>
      <c r="L58" s="404"/>
      <c r="M58" s="404"/>
      <c r="N58" s="1268"/>
      <c r="O58" s="1268"/>
      <c r="P58" s="1268"/>
    </row>
    <row r="59" spans="1:16" s="734" customFormat="1" ht="12.75">
      <c r="A59" s="1255" t="s">
        <v>194</v>
      </c>
      <c r="B59" s="1256" t="s">
        <v>195</v>
      </c>
      <c r="C59" s="1255"/>
      <c r="D59" s="404"/>
      <c r="E59" s="404"/>
      <c r="F59" s="404"/>
      <c r="G59" s="404"/>
      <c r="H59" s="404"/>
      <c r="I59" s="404"/>
      <c r="J59" s="404"/>
      <c r="K59" s="404"/>
      <c r="L59" s="404"/>
      <c r="M59" s="404"/>
      <c r="N59" s="1268"/>
      <c r="O59" s="1268"/>
      <c r="P59" s="1268"/>
    </row>
    <row r="60" spans="1:16" s="734" customFormat="1" ht="12.75">
      <c r="A60" s="1255" t="s">
        <v>192</v>
      </c>
      <c r="B60" s="1256" t="s">
        <v>188</v>
      </c>
      <c r="C60" s="1255"/>
      <c r="D60" s="404"/>
      <c r="E60" s="404"/>
      <c r="F60" s="404"/>
      <c r="G60" s="404"/>
      <c r="H60" s="404"/>
      <c r="I60" s="404"/>
      <c r="J60" s="404"/>
      <c r="K60" s="404"/>
      <c r="L60" s="404"/>
      <c r="M60" s="404"/>
      <c r="N60" s="1268"/>
      <c r="O60" s="1268"/>
      <c r="P60" s="1268"/>
    </row>
    <row r="61" spans="1:16" s="734" customFormat="1" ht="12.75">
      <c r="A61" s="1255" t="s">
        <v>193</v>
      </c>
      <c r="B61" s="1256" t="s">
        <v>196</v>
      </c>
      <c r="C61" s="1255"/>
      <c r="D61" s="404"/>
      <c r="E61" s="404"/>
      <c r="F61" s="404"/>
      <c r="G61" s="404"/>
      <c r="H61" s="404"/>
      <c r="I61" s="404"/>
      <c r="J61" s="404"/>
      <c r="K61" s="404"/>
      <c r="L61" s="404"/>
      <c r="M61" s="404"/>
      <c r="N61" s="1268"/>
      <c r="O61" s="1268"/>
      <c r="P61" s="1268"/>
    </row>
    <row r="62" spans="1:16" s="734" customFormat="1" ht="12.75">
      <c r="A62" s="1268"/>
      <c r="B62" s="1384"/>
      <c r="C62" s="1268"/>
      <c r="D62" s="1268"/>
      <c r="E62" s="1268"/>
      <c r="F62" s="1268"/>
      <c r="G62" s="1268"/>
      <c r="H62" s="1268"/>
      <c r="I62" s="1268"/>
      <c r="J62" s="1268"/>
      <c r="K62" s="1268"/>
      <c r="L62" s="1268"/>
      <c r="M62" s="1268"/>
      <c r="N62" s="1268"/>
      <c r="O62" s="1268"/>
      <c r="P62" s="1268"/>
    </row>
    <row r="63" spans="1:16" s="734" customFormat="1" ht="12.75">
      <c r="A63" s="1268"/>
      <c r="B63" s="1384"/>
      <c r="C63" s="1268"/>
      <c r="D63" s="1268"/>
      <c r="E63" s="1268"/>
      <c r="F63" s="1268"/>
      <c r="G63" s="1268"/>
      <c r="H63" s="1268"/>
      <c r="I63" s="1268"/>
      <c r="J63" s="1268"/>
      <c r="K63" s="1268"/>
      <c r="L63" s="1268"/>
      <c r="M63" s="1268"/>
      <c r="N63" s="1268"/>
      <c r="O63" s="1268"/>
      <c r="P63" s="1268"/>
    </row>
    <row r="64" spans="1:16" s="734" customFormat="1" ht="12.75">
      <c r="A64" s="1268"/>
      <c r="B64" s="1384"/>
      <c r="C64" s="1268"/>
      <c r="D64" s="1268"/>
      <c r="E64" s="1268"/>
      <c r="F64" s="1268"/>
      <c r="G64" s="1268"/>
      <c r="H64" s="1268"/>
      <c r="I64" s="1268"/>
      <c r="J64" s="1268"/>
      <c r="K64" s="1268"/>
      <c r="L64" s="1268"/>
      <c r="M64" s="1268"/>
      <c r="N64" s="1268"/>
      <c r="O64" s="1268"/>
      <c r="P64" s="1268"/>
    </row>
    <row r="65" spans="1:35" s="734" customFormat="1" ht="12.75">
      <c r="A65" s="1268"/>
      <c r="B65" s="1384"/>
      <c r="C65" s="1268"/>
      <c r="D65" s="1268"/>
      <c r="E65" s="1268"/>
      <c r="F65" s="1268"/>
      <c r="G65" s="1268"/>
      <c r="H65" s="1268"/>
      <c r="I65" s="1268"/>
      <c r="J65" s="1268"/>
      <c r="K65" s="1268"/>
      <c r="L65" s="1268"/>
      <c r="M65" s="1268"/>
      <c r="N65" s="1268"/>
      <c r="O65" s="1268"/>
      <c r="P65" s="1268"/>
    </row>
    <row r="66" spans="1:35" s="734" customFormat="1" ht="12.75">
      <c r="A66" s="1277" t="s">
        <v>1291</v>
      </c>
      <c r="B66" s="1384"/>
      <c r="C66" s="1268"/>
      <c r="D66" s="1268"/>
      <c r="E66" s="1268"/>
      <c r="F66" s="1268"/>
      <c r="G66" s="1268"/>
      <c r="H66" s="1268"/>
      <c r="I66" s="1268"/>
      <c r="J66" s="1268"/>
      <c r="K66" s="1268"/>
      <c r="L66" s="1268"/>
      <c r="M66" s="1268"/>
      <c r="N66" s="1268"/>
      <c r="O66" s="1268"/>
      <c r="P66" s="1268"/>
    </row>
    <row r="67" spans="1:35" s="734" customFormat="1" ht="13.5" thickBot="1">
      <c r="A67" s="1385" t="s">
        <v>1322</v>
      </c>
      <c r="B67" s="1385"/>
      <c r="C67" s="1385"/>
      <c r="D67" s="1385"/>
      <c r="E67" s="1385"/>
      <c r="F67" s="1385"/>
      <c r="G67" s="1385"/>
      <c r="H67" s="1385"/>
      <c r="I67" s="1385"/>
      <c r="J67" s="1385"/>
      <c r="K67" s="1385"/>
      <c r="L67" s="1385"/>
      <c r="M67" s="1385"/>
      <c r="N67" s="1385"/>
      <c r="O67" s="1385"/>
      <c r="P67" s="1385"/>
      <c r="Q67" s="1278"/>
      <c r="R67" s="1278"/>
      <c r="S67" s="1278"/>
      <c r="T67" s="1279"/>
      <c r="U67" s="1278"/>
      <c r="V67" s="1278"/>
      <c r="W67" s="1278"/>
      <c r="X67" s="1278"/>
      <c r="Y67" s="1278"/>
      <c r="Z67" s="1278"/>
      <c r="AA67" s="1278"/>
      <c r="AB67" s="1278"/>
      <c r="AC67" s="1278"/>
      <c r="AD67" s="1278"/>
      <c r="AE67" s="1278"/>
      <c r="AF67" s="1278"/>
      <c r="AG67" s="1278"/>
      <c r="AH67" s="1278"/>
      <c r="AI67" s="1278"/>
    </row>
    <row r="68" spans="1:35" s="1276" customFormat="1" ht="33" customHeight="1" thickBot="1">
      <c r="A68" s="1720" t="s">
        <v>59</v>
      </c>
      <c r="B68" s="1723" t="s">
        <v>326</v>
      </c>
      <c r="C68" s="1724"/>
      <c r="D68" s="1724"/>
      <c r="E68" s="1724"/>
      <c r="F68" s="1724"/>
      <c r="G68" s="1724"/>
      <c r="H68" s="1724"/>
      <c r="I68" s="1724"/>
      <c r="J68" s="1724"/>
      <c r="K68" s="1724"/>
      <c r="L68" s="1724"/>
      <c r="M68" s="1724"/>
      <c r="N68" s="1724"/>
      <c r="O68" s="1724"/>
      <c r="P68" s="1725"/>
      <c r="Q68" s="1726" t="s">
        <v>418</v>
      </c>
      <c r="R68" s="1726"/>
      <c r="S68" s="1726"/>
      <c r="T68" s="1726"/>
      <c r="U68" s="1726"/>
      <c r="V68" s="1726"/>
      <c r="W68" s="1726"/>
      <c r="X68" s="1726"/>
      <c r="Y68" s="1726"/>
      <c r="Z68" s="1726"/>
      <c r="AA68" s="1726"/>
      <c r="AB68" s="1726"/>
      <c r="AC68" s="1726"/>
      <c r="AD68" s="1726"/>
      <c r="AE68" s="1727"/>
      <c r="AF68" s="1728" t="s">
        <v>420</v>
      </c>
      <c r="AG68" s="1729"/>
      <c r="AH68" s="1728" t="s">
        <v>419</v>
      </c>
      <c r="AI68" s="1729"/>
    </row>
    <row r="69" spans="1:35" s="734" customFormat="1" ht="129.94999999999999" customHeight="1">
      <c r="A69" s="1721"/>
      <c r="B69" s="1283" t="s">
        <v>11</v>
      </c>
      <c r="C69" s="1281" t="s">
        <v>144</v>
      </c>
      <c r="D69" s="1281" t="s">
        <v>265</v>
      </c>
      <c r="E69" s="1281" t="s">
        <v>146</v>
      </c>
      <c r="F69" s="1281" t="s">
        <v>178</v>
      </c>
      <c r="G69" s="1281" t="s">
        <v>179</v>
      </c>
      <c r="H69" s="1281" t="s">
        <v>180</v>
      </c>
      <c r="I69" s="1281" t="s">
        <v>181</v>
      </c>
      <c r="J69" s="1281" t="s">
        <v>147</v>
      </c>
      <c r="K69" s="1281" t="s">
        <v>148</v>
      </c>
      <c r="L69" s="1281" t="s">
        <v>149</v>
      </c>
      <c r="M69" s="1281" t="s">
        <v>177</v>
      </c>
      <c r="N69" s="1281" t="s">
        <v>119</v>
      </c>
      <c r="O69" s="1359" t="s">
        <v>152</v>
      </c>
      <c r="P69" s="1360" t="s">
        <v>151</v>
      </c>
      <c r="Q69" s="1284" t="s">
        <v>11</v>
      </c>
      <c r="R69" s="1280" t="s">
        <v>144</v>
      </c>
      <c r="S69" s="1281" t="s">
        <v>145</v>
      </c>
      <c r="T69" s="1281" t="s">
        <v>146</v>
      </c>
      <c r="U69" s="1281" t="s">
        <v>178</v>
      </c>
      <c r="V69" s="1281" t="s">
        <v>179</v>
      </c>
      <c r="W69" s="1281" t="s">
        <v>180</v>
      </c>
      <c r="X69" s="1281" t="s">
        <v>181</v>
      </c>
      <c r="Y69" s="1281" t="s">
        <v>147</v>
      </c>
      <c r="Z69" s="1281" t="s">
        <v>148</v>
      </c>
      <c r="AA69" s="1281" t="s">
        <v>149</v>
      </c>
      <c r="AB69" s="1281" t="s">
        <v>177</v>
      </c>
      <c r="AC69" s="1282" t="s">
        <v>119</v>
      </c>
      <c r="AD69" s="1283" t="s">
        <v>152</v>
      </c>
      <c r="AE69" s="1284" t="s">
        <v>1316</v>
      </c>
      <c r="AF69" s="1285" t="s">
        <v>156</v>
      </c>
      <c r="AG69" s="1285" t="s">
        <v>155</v>
      </c>
      <c r="AH69" s="1285" t="s">
        <v>11</v>
      </c>
      <c r="AI69" s="1284" t="s">
        <v>1317</v>
      </c>
    </row>
    <row r="70" spans="1:35" s="734" customFormat="1" ht="19.5" customHeight="1" thickBot="1">
      <c r="A70" s="1722"/>
      <c r="B70" s="1361" t="s">
        <v>60</v>
      </c>
      <c r="C70" s="1288" t="s">
        <v>61</v>
      </c>
      <c r="D70" s="1288" t="s">
        <v>62</v>
      </c>
      <c r="E70" s="1288" t="s">
        <v>63</v>
      </c>
      <c r="F70" s="1289" t="s">
        <v>64</v>
      </c>
      <c r="G70" s="1289" t="s">
        <v>65</v>
      </c>
      <c r="H70" s="1289" t="s">
        <v>81</v>
      </c>
      <c r="I70" s="1289" t="s">
        <v>118</v>
      </c>
      <c r="J70" s="1289" t="s">
        <v>150</v>
      </c>
      <c r="K70" s="1289" t="s">
        <v>154</v>
      </c>
      <c r="L70" s="1289" t="s">
        <v>186</v>
      </c>
      <c r="M70" s="1289" t="s">
        <v>187</v>
      </c>
      <c r="N70" s="1289" t="s">
        <v>189</v>
      </c>
      <c r="O70" s="1289" t="s">
        <v>190</v>
      </c>
      <c r="P70" s="1362" t="s">
        <v>191</v>
      </c>
      <c r="Q70" s="1293" t="s">
        <v>60</v>
      </c>
      <c r="R70" s="1287" t="s">
        <v>61</v>
      </c>
      <c r="S70" s="1288" t="s">
        <v>62</v>
      </c>
      <c r="T70" s="1288" t="s">
        <v>63</v>
      </c>
      <c r="U70" s="1289" t="s">
        <v>64</v>
      </c>
      <c r="V70" s="1289" t="s">
        <v>65</v>
      </c>
      <c r="W70" s="1289" t="s">
        <v>81</v>
      </c>
      <c r="X70" s="1289" t="s">
        <v>118</v>
      </c>
      <c r="Y70" s="1289" t="s">
        <v>150</v>
      </c>
      <c r="Z70" s="1289" t="s">
        <v>154</v>
      </c>
      <c r="AA70" s="1289" t="s">
        <v>186</v>
      </c>
      <c r="AB70" s="1289" t="s">
        <v>187</v>
      </c>
      <c r="AC70" s="1290" t="s">
        <v>189</v>
      </c>
      <c r="AD70" s="1291" t="s">
        <v>190</v>
      </c>
      <c r="AE70" s="1292" t="s">
        <v>191</v>
      </c>
      <c r="AF70" s="1293"/>
      <c r="AG70" s="1286"/>
      <c r="AH70" s="1293"/>
      <c r="AI70" s="1286"/>
    </row>
    <row r="71" spans="1:35" s="734" customFormat="1" ht="12.75">
      <c r="A71" s="1344"/>
      <c r="B71" s="1297"/>
      <c r="C71" s="1363"/>
      <c r="D71" s="1363"/>
      <c r="E71" s="1363"/>
      <c r="F71" s="1363"/>
      <c r="G71" s="1363"/>
      <c r="H71" s="1363"/>
      <c r="I71" s="1363"/>
      <c r="J71" s="1363"/>
      <c r="K71" s="1363"/>
      <c r="L71" s="1363"/>
      <c r="M71" s="1363"/>
      <c r="N71" s="1363"/>
      <c r="O71" s="1363"/>
      <c r="P71" s="1364"/>
      <c r="Q71" s="1298"/>
      <c r="R71" s="1295"/>
      <c r="S71" s="1295"/>
      <c r="T71" s="1295"/>
      <c r="U71" s="1295"/>
      <c r="V71" s="1295"/>
      <c r="W71" s="1295"/>
      <c r="X71" s="1295"/>
      <c r="Y71" s="1295"/>
      <c r="Z71" s="1295"/>
      <c r="AA71" s="1295"/>
      <c r="AB71" s="1295"/>
      <c r="AC71" s="1296"/>
      <c r="AD71" s="1297"/>
      <c r="AE71" s="1299"/>
      <c r="AF71" s="1298"/>
      <c r="AG71" s="1300"/>
      <c r="AH71" s="1298"/>
      <c r="AI71" s="1294"/>
    </row>
    <row r="72" spans="1:35" s="734" customFormat="1" ht="12.75">
      <c r="A72" s="1428" t="s">
        <v>66</v>
      </c>
      <c r="B72" s="1357"/>
      <c r="C72" s="1265"/>
      <c r="D72" s="1265"/>
      <c r="E72" s="1265"/>
      <c r="F72" s="1265"/>
      <c r="G72" s="1265"/>
      <c r="H72" s="1265"/>
      <c r="I72" s="1265"/>
      <c r="J72" s="1265"/>
      <c r="K72" s="1265"/>
      <c r="L72" s="1265"/>
      <c r="M72" s="1265"/>
      <c r="N72" s="1265"/>
      <c r="O72" s="1265"/>
      <c r="P72" s="1365"/>
      <c r="Q72" s="1272"/>
      <c r="R72" s="1267"/>
      <c r="S72" s="1267"/>
      <c r="T72" s="1267"/>
      <c r="U72" s="1267"/>
      <c r="V72" s="1267"/>
      <c r="W72" s="1267"/>
      <c r="X72" s="1267"/>
      <c r="Y72" s="1267"/>
      <c r="Z72" s="1267"/>
      <c r="AA72" s="1267"/>
      <c r="AB72" s="1267"/>
      <c r="AC72" s="1268"/>
      <c r="AD72" s="1271"/>
      <c r="AE72" s="1302"/>
      <c r="AF72" s="1272"/>
      <c r="AG72" s="1273"/>
      <c r="AH72" s="1272"/>
      <c r="AI72" s="1273"/>
    </row>
    <row r="73" spans="1:35" s="734" customFormat="1" ht="12.75">
      <c r="A73" s="1264"/>
      <c r="B73" s="1357"/>
      <c r="C73" s="1265"/>
      <c r="D73" s="1265"/>
      <c r="E73" s="1265"/>
      <c r="F73" s="1265"/>
      <c r="G73" s="1265"/>
      <c r="H73" s="1265"/>
      <c r="I73" s="1265"/>
      <c r="J73" s="1265"/>
      <c r="K73" s="1265"/>
      <c r="L73" s="1265"/>
      <c r="M73" s="1265"/>
      <c r="N73" s="1265"/>
      <c r="O73" s="1265"/>
      <c r="P73" s="1358"/>
      <c r="Q73" s="1272"/>
      <c r="R73" s="1267"/>
      <c r="S73" s="1267"/>
      <c r="T73" s="1267"/>
      <c r="U73" s="1267"/>
      <c r="V73" s="1267"/>
      <c r="W73" s="1267"/>
      <c r="X73" s="1267"/>
      <c r="Y73" s="1267"/>
      <c r="Z73" s="1267"/>
      <c r="AA73" s="1267"/>
      <c r="AB73" s="1267"/>
      <c r="AC73" s="1268"/>
      <c r="AD73" s="1271"/>
      <c r="AE73" s="1272"/>
      <c r="AF73" s="1272"/>
      <c r="AG73" s="1273"/>
      <c r="AH73" s="1272"/>
      <c r="AI73" s="1273"/>
    </row>
    <row r="74" spans="1:35" s="734" customFormat="1" ht="15.95" customHeight="1">
      <c r="A74" s="1561" t="s">
        <v>1318</v>
      </c>
      <c r="B74" s="1304">
        <f t="shared" ref="B74:AI74" si="12">SUM(B75:B76)</f>
        <v>9</v>
      </c>
      <c r="C74" s="1305">
        <f t="shared" si="12"/>
        <v>26167</v>
      </c>
      <c r="D74" s="1305">
        <f t="shared" si="12"/>
        <v>0</v>
      </c>
      <c r="E74" s="1305">
        <f t="shared" si="12"/>
        <v>0</v>
      </c>
      <c r="F74" s="1305">
        <f t="shared" si="12"/>
        <v>0</v>
      </c>
      <c r="G74" s="1305">
        <f t="shared" si="12"/>
        <v>0</v>
      </c>
      <c r="H74" s="1305">
        <f t="shared" si="12"/>
        <v>0</v>
      </c>
      <c r="I74" s="1305">
        <f t="shared" si="12"/>
        <v>0</v>
      </c>
      <c r="J74" s="1305">
        <f t="shared" si="12"/>
        <v>2355</v>
      </c>
      <c r="K74" s="1305">
        <f t="shared" si="12"/>
        <v>28522</v>
      </c>
      <c r="L74" s="1305">
        <f t="shared" si="12"/>
        <v>57844</v>
      </c>
      <c r="M74" s="1305">
        <f t="shared" si="12"/>
        <v>56158</v>
      </c>
      <c r="N74" s="1305">
        <f t="shared" si="12"/>
        <v>114002</v>
      </c>
      <c r="O74" s="1305">
        <f t="shared" si="12"/>
        <v>456266</v>
      </c>
      <c r="P74" s="1306">
        <f t="shared" si="12"/>
        <v>1913007</v>
      </c>
      <c r="Q74" s="1349">
        <f t="shared" si="12"/>
        <v>9</v>
      </c>
      <c r="R74" s="1304">
        <f t="shared" si="12"/>
        <v>26000</v>
      </c>
      <c r="S74" s="1305">
        <f t="shared" si="12"/>
        <v>0</v>
      </c>
      <c r="T74" s="1305">
        <f t="shared" si="12"/>
        <v>0</v>
      </c>
      <c r="U74" s="1305">
        <f t="shared" si="12"/>
        <v>0</v>
      </c>
      <c r="V74" s="1305">
        <f t="shared" si="12"/>
        <v>0</v>
      </c>
      <c r="W74" s="1305">
        <f t="shared" si="12"/>
        <v>0</v>
      </c>
      <c r="X74" s="1305">
        <f t="shared" si="12"/>
        <v>0</v>
      </c>
      <c r="Y74" s="1305">
        <f t="shared" si="12"/>
        <v>2340</v>
      </c>
      <c r="Z74" s="1305">
        <f t="shared" si="12"/>
        <v>28340</v>
      </c>
      <c r="AA74" s="1305">
        <f t="shared" si="12"/>
        <v>57480</v>
      </c>
      <c r="AB74" s="1305">
        <f t="shared" si="12"/>
        <v>52882</v>
      </c>
      <c r="AC74" s="1306">
        <f t="shared" si="12"/>
        <v>110362</v>
      </c>
      <c r="AD74" s="1304">
        <f t="shared" si="12"/>
        <v>450442</v>
      </c>
      <c r="AE74" s="1306">
        <f t="shared" si="12"/>
        <v>1901360</v>
      </c>
      <c r="AF74" s="1307">
        <f t="shared" si="12"/>
        <v>-5824</v>
      </c>
      <c r="AG74" s="1307">
        <f t="shared" si="12"/>
        <v>-11647</v>
      </c>
      <c r="AH74" s="1307">
        <f t="shared" si="12"/>
        <v>10</v>
      </c>
      <c r="AI74" s="1307">
        <f t="shared" si="12"/>
        <v>1894770</v>
      </c>
    </row>
    <row r="75" spans="1:35" s="734" customFormat="1" ht="15.95" customHeight="1">
      <c r="A75" s="1345" t="s">
        <v>1298</v>
      </c>
      <c r="B75" s="1366">
        <v>2</v>
      </c>
      <c r="C75" s="1367">
        <v>15167</v>
      </c>
      <c r="D75" s="1367">
        <v>0</v>
      </c>
      <c r="E75" s="1367">
        <v>0</v>
      </c>
      <c r="F75" s="1367">
        <v>0</v>
      </c>
      <c r="G75" s="1367">
        <v>0</v>
      </c>
      <c r="H75" s="1367">
        <v>0</v>
      </c>
      <c r="I75" s="1367">
        <v>0</v>
      </c>
      <c r="J75" s="1367">
        <v>1365</v>
      </c>
      <c r="K75" s="1311">
        <f>SUM(C75:J75)</f>
        <v>16532</v>
      </c>
      <c r="L75" s="1367">
        <v>33464</v>
      </c>
      <c r="M75" s="1367">
        <v>24323</v>
      </c>
      <c r="N75" s="1311">
        <f>SUM(L75:M75)</f>
        <v>57787</v>
      </c>
      <c r="O75" s="1367">
        <v>256171</v>
      </c>
      <c r="P75" s="1368">
        <f>+O75*B75</f>
        <v>512342</v>
      </c>
      <c r="Q75" s="1313">
        <v>2</v>
      </c>
      <c r="R75" s="1310">
        <v>15000</v>
      </c>
      <c r="S75" s="1310">
        <v>0</v>
      </c>
      <c r="T75" s="1310">
        <v>0</v>
      </c>
      <c r="U75" s="1310">
        <v>0</v>
      </c>
      <c r="V75" s="1310">
        <v>0</v>
      </c>
      <c r="W75" s="1310">
        <v>0</v>
      </c>
      <c r="X75" s="1310">
        <v>0</v>
      </c>
      <c r="Y75" s="1310">
        <v>1350</v>
      </c>
      <c r="Z75" s="1310">
        <v>16350</v>
      </c>
      <c r="AA75" s="1310">
        <v>33100</v>
      </c>
      <c r="AB75" s="1310">
        <v>21047</v>
      </c>
      <c r="AC75" s="1315">
        <v>54147</v>
      </c>
      <c r="AD75" s="1312">
        <v>250347</v>
      </c>
      <c r="AE75" s="1313">
        <v>500695</v>
      </c>
      <c r="AF75" s="1313">
        <f>+AD75-O75</f>
        <v>-5824</v>
      </c>
      <c r="AG75" s="1314">
        <f>+AE75-P75</f>
        <v>-11647</v>
      </c>
      <c r="AH75" s="1313">
        <v>2</v>
      </c>
      <c r="AI75" s="1314">
        <v>503327</v>
      </c>
    </row>
    <row r="76" spans="1:35" s="734" customFormat="1" ht="15.95" customHeight="1">
      <c r="A76" s="1346" t="s">
        <v>1299</v>
      </c>
      <c r="B76" s="1369">
        <v>7</v>
      </c>
      <c r="C76" s="1370">
        <v>11000</v>
      </c>
      <c r="D76" s="1370">
        <v>0</v>
      </c>
      <c r="E76" s="1370">
        <v>0</v>
      </c>
      <c r="F76" s="1370">
        <v>0</v>
      </c>
      <c r="G76" s="1370">
        <v>0</v>
      </c>
      <c r="H76" s="1370">
        <v>0</v>
      </c>
      <c r="I76" s="1370">
        <v>0</v>
      </c>
      <c r="J76" s="1370">
        <v>990</v>
      </c>
      <c r="K76" s="1371">
        <f>SUM(C76:J76)</f>
        <v>11990</v>
      </c>
      <c r="L76" s="1370">
        <v>24380</v>
      </c>
      <c r="M76" s="1370">
        <v>31835</v>
      </c>
      <c r="N76" s="1371">
        <f>SUM(L76:M76)</f>
        <v>56215</v>
      </c>
      <c r="O76" s="1370">
        <v>200095</v>
      </c>
      <c r="P76" s="1372">
        <f>+O76*B76</f>
        <v>1400665</v>
      </c>
      <c r="Q76" s="1320">
        <v>7</v>
      </c>
      <c r="R76" s="1318">
        <v>11000</v>
      </c>
      <c r="S76" s="1318">
        <v>0</v>
      </c>
      <c r="T76" s="1318">
        <v>0</v>
      </c>
      <c r="U76" s="1318">
        <v>0</v>
      </c>
      <c r="V76" s="1318">
        <v>0</v>
      </c>
      <c r="W76" s="1318">
        <v>0</v>
      </c>
      <c r="X76" s="1318">
        <v>0</v>
      </c>
      <c r="Y76" s="1318">
        <v>990</v>
      </c>
      <c r="Z76" s="1318">
        <v>11990</v>
      </c>
      <c r="AA76" s="1318">
        <v>24380</v>
      </c>
      <c r="AB76" s="1318">
        <v>31835</v>
      </c>
      <c r="AC76" s="1322">
        <v>56215</v>
      </c>
      <c r="AD76" s="1319">
        <v>200095</v>
      </c>
      <c r="AE76" s="1320">
        <v>1400665</v>
      </c>
      <c r="AF76" s="1313">
        <f>+AD76-O76</f>
        <v>0</v>
      </c>
      <c r="AG76" s="1314">
        <f>+AE76-P76</f>
        <v>0</v>
      </c>
      <c r="AH76" s="1320">
        <v>8</v>
      </c>
      <c r="AI76" s="1321">
        <v>1391443</v>
      </c>
    </row>
    <row r="77" spans="1:35" s="734" customFormat="1" ht="12.75">
      <c r="A77" s="1351"/>
      <c r="B77" s="1373"/>
      <c r="C77" s="1374"/>
      <c r="D77" s="1374"/>
      <c r="E77" s="1374"/>
      <c r="F77" s="1374"/>
      <c r="G77" s="1374"/>
      <c r="H77" s="1374"/>
      <c r="I77" s="1374"/>
      <c r="J77" s="1374"/>
      <c r="K77" s="1375"/>
      <c r="L77" s="1374"/>
      <c r="M77" s="1374"/>
      <c r="N77" s="1311"/>
      <c r="O77" s="1374"/>
      <c r="P77" s="1376"/>
      <c r="Q77" s="1326"/>
      <c r="R77" s="1324"/>
      <c r="S77" s="1324"/>
      <c r="T77" s="1324"/>
      <c r="U77" s="1324"/>
      <c r="V77" s="1324"/>
      <c r="W77" s="1324"/>
      <c r="X77" s="1324"/>
      <c r="Y77" s="1324"/>
      <c r="Z77" s="1324"/>
      <c r="AA77" s="1324"/>
      <c r="AB77" s="1324"/>
      <c r="AC77" s="1328"/>
      <c r="AD77" s="1325"/>
      <c r="AE77" s="1326"/>
      <c r="AF77" s="1326"/>
      <c r="AG77" s="1327"/>
      <c r="AH77" s="1326"/>
      <c r="AI77" s="1327"/>
    </row>
    <row r="78" spans="1:35" s="734" customFormat="1" ht="15.95" customHeight="1">
      <c r="A78" s="1561" t="s">
        <v>4</v>
      </c>
      <c r="B78" s="1304">
        <f t="shared" ref="B78:AI78" si="13">SUM(B79:B82)</f>
        <v>30</v>
      </c>
      <c r="C78" s="1305">
        <f t="shared" si="13"/>
        <v>23423</v>
      </c>
      <c r="D78" s="1305">
        <f t="shared" si="13"/>
        <v>0</v>
      </c>
      <c r="E78" s="1305">
        <f t="shared" si="13"/>
        <v>0</v>
      </c>
      <c r="F78" s="1305">
        <f t="shared" si="13"/>
        <v>0</v>
      </c>
      <c r="G78" s="1305">
        <f t="shared" si="13"/>
        <v>0</v>
      </c>
      <c r="H78" s="1305">
        <f t="shared" si="13"/>
        <v>0</v>
      </c>
      <c r="I78" s="1305">
        <f t="shared" si="13"/>
        <v>0</v>
      </c>
      <c r="J78" s="1305">
        <f t="shared" si="13"/>
        <v>2180</v>
      </c>
      <c r="K78" s="1305">
        <f t="shared" si="13"/>
        <v>25603</v>
      </c>
      <c r="L78" s="1305">
        <f t="shared" si="13"/>
        <v>52806</v>
      </c>
      <c r="M78" s="1305">
        <f t="shared" si="13"/>
        <v>45471</v>
      </c>
      <c r="N78" s="1305">
        <f t="shared" si="13"/>
        <v>98277</v>
      </c>
      <c r="O78" s="1305">
        <f t="shared" si="13"/>
        <v>405513</v>
      </c>
      <c r="P78" s="1306">
        <f t="shared" si="13"/>
        <v>3387402</v>
      </c>
      <c r="Q78" s="1349">
        <f t="shared" si="13"/>
        <v>30</v>
      </c>
      <c r="R78" s="1304">
        <f t="shared" si="13"/>
        <v>22002</v>
      </c>
      <c r="S78" s="1305">
        <f t="shared" si="13"/>
        <v>0</v>
      </c>
      <c r="T78" s="1305">
        <f t="shared" si="13"/>
        <v>0</v>
      </c>
      <c r="U78" s="1305">
        <f t="shared" si="13"/>
        <v>0</v>
      </c>
      <c r="V78" s="1305">
        <f t="shared" si="13"/>
        <v>0</v>
      </c>
      <c r="W78" s="1305">
        <f t="shared" si="13"/>
        <v>0</v>
      </c>
      <c r="X78" s="1305">
        <f t="shared" si="13"/>
        <v>0</v>
      </c>
      <c r="Y78" s="1305">
        <f t="shared" si="13"/>
        <v>1980.18</v>
      </c>
      <c r="Z78" s="1305">
        <f t="shared" si="13"/>
        <v>23982.18</v>
      </c>
      <c r="AA78" s="1305">
        <f t="shared" si="13"/>
        <v>49564.36</v>
      </c>
      <c r="AB78" s="1305">
        <f t="shared" si="13"/>
        <v>45473</v>
      </c>
      <c r="AC78" s="1306">
        <f t="shared" si="13"/>
        <v>95037.36</v>
      </c>
      <c r="AD78" s="1304">
        <f t="shared" si="13"/>
        <v>382823.52</v>
      </c>
      <c r="AE78" s="1306">
        <f t="shared" si="13"/>
        <v>3128348.04</v>
      </c>
      <c r="AF78" s="1307">
        <f t="shared" si="13"/>
        <v>-22689.479999999996</v>
      </c>
      <c r="AG78" s="1307">
        <f t="shared" si="13"/>
        <v>-259053.96</v>
      </c>
      <c r="AH78" s="1307">
        <f t="shared" si="13"/>
        <v>29</v>
      </c>
      <c r="AI78" s="1307">
        <f t="shared" si="13"/>
        <v>3152880</v>
      </c>
    </row>
    <row r="79" spans="1:35" s="734" customFormat="1" ht="15.95" customHeight="1">
      <c r="A79" s="1347" t="s">
        <v>13</v>
      </c>
      <c r="B79" s="1377">
        <v>13</v>
      </c>
      <c r="C79" s="1378">
        <v>7423</v>
      </c>
      <c r="D79" s="1378">
        <v>0</v>
      </c>
      <c r="E79" s="1378">
        <v>0</v>
      </c>
      <c r="F79" s="1378">
        <v>0</v>
      </c>
      <c r="G79" s="1378">
        <v>0</v>
      </c>
      <c r="H79" s="1378">
        <v>0</v>
      </c>
      <c r="I79" s="1378">
        <v>0</v>
      </c>
      <c r="J79" s="1378">
        <v>668</v>
      </c>
      <c r="K79" s="1379">
        <f>SUM(C79:J79)</f>
        <v>8091</v>
      </c>
      <c r="L79" s="1378">
        <v>16582</v>
      </c>
      <c r="M79" s="1378">
        <v>11957</v>
      </c>
      <c r="N79" s="1379">
        <f>SUM(L79:M79)</f>
        <v>28539</v>
      </c>
      <c r="O79" s="1378">
        <v>125631</v>
      </c>
      <c r="P79" s="1380">
        <f>+O79*B79</f>
        <v>1633203</v>
      </c>
      <c r="Q79" s="1331">
        <v>13</v>
      </c>
      <c r="R79" s="1329">
        <v>6450</v>
      </c>
      <c r="S79" s="1329">
        <v>0</v>
      </c>
      <c r="T79" s="1329">
        <v>0</v>
      </c>
      <c r="U79" s="1329">
        <v>0</v>
      </c>
      <c r="V79" s="1329">
        <v>0</v>
      </c>
      <c r="W79" s="1329">
        <v>0</v>
      </c>
      <c r="X79" s="1329">
        <v>0</v>
      </c>
      <c r="Y79" s="1329">
        <v>580.5</v>
      </c>
      <c r="Z79" s="1329">
        <v>7030.5</v>
      </c>
      <c r="AA79" s="1329">
        <v>14461</v>
      </c>
      <c r="AB79" s="1329">
        <v>11957</v>
      </c>
      <c r="AC79" s="1333">
        <v>26418</v>
      </c>
      <c r="AD79" s="1330">
        <v>110784</v>
      </c>
      <c r="AE79" s="1331">
        <v>1440192</v>
      </c>
      <c r="AF79" s="1331">
        <f t="shared" ref="AF79:AG82" si="14">+AD79-O79</f>
        <v>-14847</v>
      </c>
      <c r="AG79" s="1332">
        <f t="shared" si="14"/>
        <v>-193011</v>
      </c>
      <c r="AH79" s="1331">
        <v>12</v>
      </c>
      <c r="AI79" s="1332">
        <v>1454370</v>
      </c>
    </row>
    <row r="80" spans="1:35" s="734" customFormat="1" ht="15.95" customHeight="1">
      <c r="A80" s="1346" t="s">
        <v>1319</v>
      </c>
      <c r="B80" s="1369">
        <v>13</v>
      </c>
      <c r="C80" s="1370">
        <v>6300</v>
      </c>
      <c r="D80" s="1370">
        <v>0</v>
      </c>
      <c r="E80" s="1370">
        <v>0</v>
      </c>
      <c r="F80" s="1370">
        <v>0</v>
      </c>
      <c r="G80" s="1370">
        <v>0</v>
      </c>
      <c r="H80" s="1370">
        <v>0</v>
      </c>
      <c r="I80" s="1370">
        <v>0</v>
      </c>
      <c r="J80" s="1370">
        <v>567</v>
      </c>
      <c r="K80" s="1371">
        <f>SUM(C80:J80)</f>
        <v>6867</v>
      </c>
      <c r="L80" s="1370">
        <v>14134</v>
      </c>
      <c r="M80" s="1370">
        <v>12047</v>
      </c>
      <c r="N80" s="1371">
        <f>SUM(L80:M80)</f>
        <v>26181</v>
      </c>
      <c r="O80" s="1370">
        <v>108585</v>
      </c>
      <c r="P80" s="1372">
        <f>+O80*B80</f>
        <v>1411605</v>
      </c>
      <c r="Q80" s="1320">
        <v>13</v>
      </c>
      <c r="R80" s="1318">
        <v>6000</v>
      </c>
      <c r="S80" s="1318">
        <v>0</v>
      </c>
      <c r="T80" s="1318">
        <v>0</v>
      </c>
      <c r="U80" s="1318">
        <v>0</v>
      </c>
      <c r="V80" s="1318">
        <v>0</v>
      </c>
      <c r="W80" s="1318">
        <v>0</v>
      </c>
      <c r="X80" s="1318">
        <v>0</v>
      </c>
      <c r="Y80" s="1318">
        <v>540</v>
      </c>
      <c r="Z80" s="1318">
        <v>6540</v>
      </c>
      <c r="AA80" s="1318">
        <v>13480</v>
      </c>
      <c r="AB80" s="1318">
        <v>12047</v>
      </c>
      <c r="AC80" s="1322">
        <v>25527</v>
      </c>
      <c r="AD80" s="1319">
        <v>104007</v>
      </c>
      <c r="AE80" s="1320">
        <v>1352091</v>
      </c>
      <c r="AF80" s="1320">
        <f t="shared" si="14"/>
        <v>-4578</v>
      </c>
      <c r="AG80" s="1321">
        <f t="shared" si="14"/>
        <v>-59514</v>
      </c>
      <c r="AH80" s="1320">
        <v>13</v>
      </c>
      <c r="AI80" s="1321">
        <v>1344369</v>
      </c>
    </row>
    <row r="81" spans="1:35" s="734" customFormat="1" ht="15.95" customHeight="1">
      <c r="A81" s="1346" t="s">
        <v>1320</v>
      </c>
      <c r="B81" s="1369">
        <v>2</v>
      </c>
      <c r="C81" s="1370">
        <v>5200</v>
      </c>
      <c r="D81" s="1370">
        <v>0</v>
      </c>
      <c r="E81" s="1370">
        <v>0</v>
      </c>
      <c r="F81" s="1370">
        <v>0</v>
      </c>
      <c r="G81" s="1370">
        <v>0</v>
      </c>
      <c r="H81" s="1370">
        <v>0</v>
      </c>
      <c r="I81" s="1370">
        <v>0</v>
      </c>
      <c r="J81" s="1370">
        <v>540</v>
      </c>
      <c r="K81" s="1371">
        <f>SUM(C81:J81)</f>
        <v>5740</v>
      </c>
      <c r="L81" s="1370">
        <v>11880</v>
      </c>
      <c r="M81" s="1370">
        <v>10970</v>
      </c>
      <c r="N81" s="1371">
        <f>SUM(L81:M81)</f>
        <v>22850</v>
      </c>
      <c r="O81" s="1370">
        <v>91730</v>
      </c>
      <c r="P81" s="1372">
        <f>+O81*B81</f>
        <v>183460</v>
      </c>
      <c r="Q81" s="1320">
        <v>2</v>
      </c>
      <c r="R81" s="1318">
        <v>5000</v>
      </c>
      <c r="S81" s="1318">
        <v>0</v>
      </c>
      <c r="T81" s="1318">
        <v>0</v>
      </c>
      <c r="U81" s="1318">
        <v>0</v>
      </c>
      <c r="V81" s="1318">
        <v>0</v>
      </c>
      <c r="W81" s="1318">
        <v>0</v>
      </c>
      <c r="X81" s="1318">
        <v>0</v>
      </c>
      <c r="Y81" s="1318">
        <v>450</v>
      </c>
      <c r="Z81" s="1318">
        <v>5450</v>
      </c>
      <c r="AA81" s="1318">
        <v>11300</v>
      </c>
      <c r="AB81" s="1318">
        <v>10970</v>
      </c>
      <c r="AC81" s="1322">
        <v>22270</v>
      </c>
      <c r="AD81" s="1319">
        <v>87670</v>
      </c>
      <c r="AE81" s="1320">
        <v>175340</v>
      </c>
      <c r="AF81" s="1320">
        <f t="shared" si="14"/>
        <v>-4060</v>
      </c>
      <c r="AG81" s="1321">
        <f t="shared" si="14"/>
        <v>-8120</v>
      </c>
      <c r="AH81" s="1320">
        <v>2</v>
      </c>
      <c r="AI81" s="1321">
        <v>204450</v>
      </c>
    </row>
    <row r="82" spans="1:35" s="734" customFormat="1" ht="15.95" customHeight="1">
      <c r="A82" s="1346" t="s">
        <v>1321</v>
      </c>
      <c r="B82" s="1369">
        <v>2</v>
      </c>
      <c r="C82" s="1370">
        <v>4500</v>
      </c>
      <c r="D82" s="1370">
        <v>0</v>
      </c>
      <c r="E82" s="1370">
        <v>0</v>
      </c>
      <c r="F82" s="1370">
        <v>0</v>
      </c>
      <c r="G82" s="1370">
        <v>0</v>
      </c>
      <c r="H82" s="1370">
        <v>0</v>
      </c>
      <c r="I82" s="1370">
        <v>0</v>
      </c>
      <c r="J82" s="1370">
        <v>405</v>
      </c>
      <c r="K82" s="1371">
        <f>SUM(C82:J82)</f>
        <v>4905</v>
      </c>
      <c r="L82" s="1370">
        <v>10210</v>
      </c>
      <c r="M82" s="1370">
        <v>10497</v>
      </c>
      <c r="N82" s="1371">
        <f>SUM(L82:M82)</f>
        <v>20707</v>
      </c>
      <c r="O82" s="1370">
        <v>79567</v>
      </c>
      <c r="P82" s="1372">
        <f>+O82*B82</f>
        <v>159134</v>
      </c>
      <c r="Q82" s="1320">
        <v>2</v>
      </c>
      <c r="R82" s="1318">
        <v>4552</v>
      </c>
      <c r="S82" s="1318">
        <v>0</v>
      </c>
      <c r="T82" s="1318">
        <v>0</v>
      </c>
      <c r="U82" s="1318">
        <v>0</v>
      </c>
      <c r="V82" s="1318">
        <v>0</v>
      </c>
      <c r="W82" s="1318">
        <v>0</v>
      </c>
      <c r="X82" s="1318">
        <v>0</v>
      </c>
      <c r="Y82" s="1318">
        <v>409.68</v>
      </c>
      <c r="Z82" s="1318">
        <v>4961.68</v>
      </c>
      <c r="AA82" s="1318">
        <v>10323.36</v>
      </c>
      <c r="AB82" s="1318">
        <v>10499</v>
      </c>
      <c r="AC82" s="1322">
        <v>20822.36</v>
      </c>
      <c r="AD82" s="1319">
        <v>80362.52</v>
      </c>
      <c r="AE82" s="1320">
        <v>160725.04</v>
      </c>
      <c r="AF82" s="1320">
        <f t="shared" si="14"/>
        <v>795.52000000000407</v>
      </c>
      <c r="AG82" s="1321">
        <f t="shared" si="14"/>
        <v>1591.0400000000081</v>
      </c>
      <c r="AH82" s="1320">
        <v>2</v>
      </c>
      <c r="AI82" s="1321">
        <v>149691</v>
      </c>
    </row>
    <row r="83" spans="1:35" s="734" customFormat="1" ht="12.75">
      <c r="A83" s="1351"/>
      <c r="B83" s="1373"/>
      <c r="C83" s="1374"/>
      <c r="D83" s="1374"/>
      <c r="E83" s="1374"/>
      <c r="F83" s="1374"/>
      <c r="G83" s="1374"/>
      <c r="H83" s="1374"/>
      <c r="I83" s="1374"/>
      <c r="J83" s="1374"/>
      <c r="K83" s="1375"/>
      <c r="L83" s="1374"/>
      <c r="M83" s="1374"/>
      <c r="N83" s="1311"/>
      <c r="O83" s="1374"/>
      <c r="P83" s="1376"/>
      <c r="Q83" s="1326"/>
      <c r="R83" s="1324"/>
      <c r="S83" s="1324"/>
      <c r="T83" s="1324"/>
      <c r="U83" s="1324"/>
      <c r="V83" s="1324"/>
      <c r="W83" s="1324"/>
      <c r="X83" s="1324"/>
      <c r="Y83" s="1324"/>
      <c r="Z83" s="1324"/>
      <c r="AA83" s="1324"/>
      <c r="AB83" s="1324"/>
      <c r="AC83" s="1328"/>
      <c r="AD83" s="1325"/>
      <c r="AE83" s="1326"/>
      <c r="AF83" s="1326"/>
      <c r="AG83" s="1327"/>
      <c r="AH83" s="1326"/>
      <c r="AI83" s="1327"/>
    </row>
    <row r="84" spans="1:35" s="734" customFormat="1" ht="15.95" customHeight="1">
      <c r="A84" s="1561" t="s">
        <v>5</v>
      </c>
      <c r="B84" s="1304">
        <f t="shared" ref="B84:AI84" si="15">+B85</f>
        <v>7</v>
      </c>
      <c r="C84" s="1305">
        <f t="shared" si="15"/>
        <v>2929</v>
      </c>
      <c r="D84" s="1305">
        <f t="shared" si="15"/>
        <v>0</v>
      </c>
      <c r="E84" s="1305">
        <f t="shared" si="15"/>
        <v>0</v>
      </c>
      <c r="F84" s="1305">
        <f t="shared" si="15"/>
        <v>0</v>
      </c>
      <c r="G84" s="1305">
        <f t="shared" si="15"/>
        <v>0</v>
      </c>
      <c r="H84" s="1305">
        <f t="shared" si="15"/>
        <v>0</v>
      </c>
      <c r="I84" s="1305">
        <f t="shared" si="15"/>
        <v>0</v>
      </c>
      <c r="J84" s="1305">
        <f t="shared" si="15"/>
        <v>264</v>
      </c>
      <c r="K84" s="1305">
        <f t="shared" si="15"/>
        <v>3193</v>
      </c>
      <c r="L84" s="1305">
        <f t="shared" si="15"/>
        <v>6786</v>
      </c>
      <c r="M84" s="1305">
        <f t="shared" si="15"/>
        <v>6833</v>
      </c>
      <c r="N84" s="1305">
        <f t="shared" si="15"/>
        <v>13619</v>
      </c>
      <c r="O84" s="1305">
        <f t="shared" si="15"/>
        <v>51935</v>
      </c>
      <c r="P84" s="1306">
        <f t="shared" si="15"/>
        <v>363545</v>
      </c>
      <c r="Q84" s="1349">
        <f t="shared" si="15"/>
        <v>7</v>
      </c>
      <c r="R84" s="1304">
        <f t="shared" si="15"/>
        <v>2900</v>
      </c>
      <c r="S84" s="1305">
        <f t="shared" si="15"/>
        <v>0</v>
      </c>
      <c r="T84" s="1305">
        <f t="shared" si="15"/>
        <v>0</v>
      </c>
      <c r="U84" s="1305">
        <f t="shared" si="15"/>
        <v>0</v>
      </c>
      <c r="V84" s="1305">
        <f t="shared" si="15"/>
        <v>0</v>
      </c>
      <c r="W84" s="1305">
        <f t="shared" si="15"/>
        <v>0</v>
      </c>
      <c r="X84" s="1305">
        <f t="shared" si="15"/>
        <v>0</v>
      </c>
      <c r="Y84" s="1305">
        <f t="shared" si="15"/>
        <v>261</v>
      </c>
      <c r="Z84" s="1305">
        <f t="shared" si="15"/>
        <v>3161</v>
      </c>
      <c r="AA84" s="1305">
        <f t="shared" si="15"/>
        <v>6722</v>
      </c>
      <c r="AB84" s="1305">
        <f t="shared" si="15"/>
        <v>6834</v>
      </c>
      <c r="AC84" s="1306">
        <f t="shared" si="15"/>
        <v>13556</v>
      </c>
      <c r="AD84" s="1304">
        <f t="shared" si="15"/>
        <v>51488</v>
      </c>
      <c r="AE84" s="1306">
        <f t="shared" si="15"/>
        <v>360416</v>
      </c>
      <c r="AF84" s="1307">
        <f t="shared" si="15"/>
        <v>-447</v>
      </c>
      <c r="AG84" s="1307">
        <f t="shared" si="15"/>
        <v>-3129</v>
      </c>
      <c r="AH84" s="1307">
        <f t="shared" si="15"/>
        <v>7</v>
      </c>
      <c r="AI84" s="1307">
        <f t="shared" si="15"/>
        <v>341442</v>
      </c>
    </row>
    <row r="85" spans="1:35" s="734" customFormat="1" ht="15.95" customHeight="1">
      <c r="A85" s="1347" t="s">
        <v>14</v>
      </c>
      <c r="B85" s="1377">
        <v>7</v>
      </c>
      <c r="C85" s="1378">
        <v>2929</v>
      </c>
      <c r="D85" s="1378">
        <v>0</v>
      </c>
      <c r="E85" s="1378">
        <v>0</v>
      </c>
      <c r="F85" s="1378">
        <v>0</v>
      </c>
      <c r="G85" s="1378">
        <v>0</v>
      </c>
      <c r="H85" s="1378">
        <v>0</v>
      </c>
      <c r="I85" s="1378">
        <v>0</v>
      </c>
      <c r="J85" s="1378">
        <v>264</v>
      </c>
      <c r="K85" s="1379">
        <f>SUM(C85:J85)</f>
        <v>3193</v>
      </c>
      <c r="L85" s="1378">
        <v>6786</v>
      </c>
      <c r="M85" s="1378">
        <v>6833</v>
      </c>
      <c r="N85" s="1379">
        <f>SUM(L85:M85)</f>
        <v>13619</v>
      </c>
      <c r="O85" s="1378">
        <v>51935</v>
      </c>
      <c r="P85" s="1380">
        <f>+O85*B85</f>
        <v>363545</v>
      </c>
      <c r="Q85" s="1331">
        <v>7</v>
      </c>
      <c r="R85" s="1329">
        <v>2900</v>
      </c>
      <c r="S85" s="1329">
        <v>0</v>
      </c>
      <c r="T85" s="1329">
        <v>0</v>
      </c>
      <c r="U85" s="1329">
        <v>0</v>
      </c>
      <c r="V85" s="1329">
        <v>0</v>
      </c>
      <c r="W85" s="1329">
        <v>0</v>
      </c>
      <c r="X85" s="1329">
        <v>0</v>
      </c>
      <c r="Y85" s="1329">
        <v>261</v>
      </c>
      <c r="Z85" s="1329">
        <v>3161</v>
      </c>
      <c r="AA85" s="1329">
        <v>6722</v>
      </c>
      <c r="AB85" s="1329">
        <v>6834</v>
      </c>
      <c r="AC85" s="1333">
        <v>13556</v>
      </c>
      <c r="AD85" s="1330">
        <v>51488</v>
      </c>
      <c r="AE85" s="1331">
        <v>360416</v>
      </c>
      <c r="AF85" s="1331">
        <f>+AD85-O85</f>
        <v>-447</v>
      </c>
      <c r="AG85" s="1332">
        <f>+AE85-P85</f>
        <v>-3129</v>
      </c>
      <c r="AH85" s="1331">
        <v>7</v>
      </c>
      <c r="AI85" s="1332">
        <v>341442</v>
      </c>
    </row>
    <row r="86" spans="1:35" s="734" customFormat="1" ht="12.75">
      <c r="A86" s="1351"/>
      <c r="B86" s="1373"/>
      <c r="C86" s="1374"/>
      <c r="D86" s="1374"/>
      <c r="E86" s="1374"/>
      <c r="F86" s="1374"/>
      <c r="G86" s="1374"/>
      <c r="H86" s="1374"/>
      <c r="I86" s="1374"/>
      <c r="J86" s="1374"/>
      <c r="K86" s="1375"/>
      <c r="L86" s="1374"/>
      <c r="M86" s="1374"/>
      <c r="N86" s="1311"/>
      <c r="O86" s="1374"/>
      <c r="P86" s="1376"/>
      <c r="Q86" s="1326"/>
      <c r="R86" s="1324"/>
      <c r="S86" s="1324"/>
      <c r="T86" s="1324"/>
      <c r="U86" s="1324"/>
      <c r="V86" s="1324"/>
      <c r="W86" s="1324"/>
      <c r="X86" s="1324"/>
      <c r="Y86" s="1324"/>
      <c r="Z86" s="1324"/>
      <c r="AA86" s="1324"/>
      <c r="AB86" s="1324"/>
      <c r="AC86" s="1328"/>
      <c r="AD86" s="1325"/>
      <c r="AE86" s="1326"/>
      <c r="AF86" s="1326"/>
      <c r="AG86" s="1327"/>
      <c r="AH86" s="1326"/>
      <c r="AI86" s="1327"/>
    </row>
    <row r="87" spans="1:35" s="734" customFormat="1" ht="15.95" customHeight="1">
      <c r="A87" s="1561" t="s">
        <v>6</v>
      </c>
      <c r="B87" s="1304">
        <f t="shared" ref="B87:AI87" si="16">+B88</f>
        <v>2</v>
      </c>
      <c r="C87" s="1305">
        <f t="shared" si="16"/>
        <v>2000</v>
      </c>
      <c r="D87" s="1305">
        <f t="shared" si="16"/>
        <v>0</v>
      </c>
      <c r="E87" s="1305">
        <f t="shared" si="16"/>
        <v>0</v>
      </c>
      <c r="F87" s="1305">
        <f t="shared" si="16"/>
        <v>0</v>
      </c>
      <c r="G87" s="1305">
        <f t="shared" si="16"/>
        <v>0</v>
      </c>
      <c r="H87" s="1305">
        <f t="shared" si="16"/>
        <v>0</v>
      </c>
      <c r="I87" s="1305">
        <f t="shared" si="16"/>
        <v>0</v>
      </c>
      <c r="J87" s="1305">
        <f t="shared" si="16"/>
        <v>180</v>
      </c>
      <c r="K87" s="1305">
        <f t="shared" si="16"/>
        <v>2180</v>
      </c>
      <c r="L87" s="1305">
        <f t="shared" si="16"/>
        <v>4760</v>
      </c>
      <c r="M87" s="1305">
        <f t="shared" si="16"/>
        <v>3613</v>
      </c>
      <c r="N87" s="1305">
        <f t="shared" si="16"/>
        <v>8373</v>
      </c>
      <c r="O87" s="1305">
        <f t="shared" si="16"/>
        <v>34533</v>
      </c>
      <c r="P87" s="1306">
        <f t="shared" si="16"/>
        <v>69066</v>
      </c>
      <c r="Q87" s="1349">
        <f t="shared" si="16"/>
        <v>2</v>
      </c>
      <c r="R87" s="1304">
        <f t="shared" si="16"/>
        <v>2000</v>
      </c>
      <c r="S87" s="1305">
        <f t="shared" si="16"/>
        <v>0</v>
      </c>
      <c r="T87" s="1305">
        <f t="shared" si="16"/>
        <v>0</v>
      </c>
      <c r="U87" s="1305">
        <f t="shared" si="16"/>
        <v>0</v>
      </c>
      <c r="V87" s="1305">
        <f t="shared" si="16"/>
        <v>0</v>
      </c>
      <c r="W87" s="1305">
        <f t="shared" si="16"/>
        <v>0</v>
      </c>
      <c r="X87" s="1305">
        <f t="shared" si="16"/>
        <v>0</v>
      </c>
      <c r="Y87" s="1305">
        <f t="shared" si="16"/>
        <v>180</v>
      </c>
      <c r="Z87" s="1305">
        <f t="shared" si="16"/>
        <v>2180</v>
      </c>
      <c r="AA87" s="1305">
        <f t="shared" si="16"/>
        <v>4760</v>
      </c>
      <c r="AB87" s="1305">
        <f t="shared" si="16"/>
        <v>2580</v>
      </c>
      <c r="AC87" s="1306">
        <f t="shared" si="16"/>
        <v>7340</v>
      </c>
      <c r="AD87" s="1304">
        <f t="shared" si="16"/>
        <v>33500</v>
      </c>
      <c r="AE87" s="1306">
        <f t="shared" si="16"/>
        <v>67000</v>
      </c>
      <c r="AF87" s="1307">
        <f t="shared" si="16"/>
        <v>-1033</v>
      </c>
      <c r="AG87" s="1307">
        <f t="shared" si="16"/>
        <v>-2066</v>
      </c>
      <c r="AH87" s="1307">
        <f t="shared" si="16"/>
        <v>2</v>
      </c>
      <c r="AI87" s="1307">
        <f t="shared" si="16"/>
        <v>68032</v>
      </c>
    </row>
    <row r="88" spans="1:35" s="734" customFormat="1" ht="15.95" customHeight="1">
      <c r="A88" s="1347" t="s">
        <v>15</v>
      </c>
      <c r="B88" s="1377">
        <v>2</v>
      </c>
      <c r="C88" s="1378">
        <v>2000</v>
      </c>
      <c r="D88" s="1378">
        <v>0</v>
      </c>
      <c r="E88" s="1378">
        <v>0</v>
      </c>
      <c r="F88" s="1378">
        <v>0</v>
      </c>
      <c r="G88" s="1378">
        <v>0</v>
      </c>
      <c r="H88" s="1378">
        <v>0</v>
      </c>
      <c r="I88" s="1378">
        <v>0</v>
      </c>
      <c r="J88" s="1378">
        <v>180</v>
      </c>
      <c r="K88" s="1379">
        <f>SUM(C88:J88)</f>
        <v>2180</v>
      </c>
      <c r="L88" s="1378">
        <v>4760</v>
      </c>
      <c r="M88" s="1378">
        <v>3613</v>
      </c>
      <c r="N88" s="1379">
        <f>SUM(L88:M88)</f>
        <v>8373</v>
      </c>
      <c r="O88" s="1378">
        <v>34533</v>
      </c>
      <c r="P88" s="1380">
        <f>+O88*B88</f>
        <v>69066</v>
      </c>
      <c r="Q88" s="1331">
        <v>2</v>
      </c>
      <c r="R88" s="1329">
        <v>2000</v>
      </c>
      <c r="S88" s="1329">
        <v>0</v>
      </c>
      <c r="T88" s="1329">
        <v>0</v>
      </c>
      <c r="U88" s="1329">
        <v>0</v>
      </c>
      <c r="V88" s="1329">
        <v>0</v>
      </c>
      <c r="W88" s="1329">
        <v>0</v>
      </c>
      <c r="X88" s="1329">
        <v>0</v>
      </c>
      <c r="Y88" s="1329">
        <v>180</v>
      </c>
      <c r="Z88" s="1329">
        <v>2180</v>
      </c>
      <c r="AA88" s="1329">
        <v>4760</v>
      </c>
      <c r="AB88" s="1329">
        <v>2580</v>
      </c>
      <c r="AC88" s="1333">
        <v>7340</v>
      </c>
      <c r="AD88" s="1330">
        <v>33500</v>
      </c>
      <c r="AE88" s="1331">
        <v>67000</v>
      </c>
      <c r="AF88" s="1331">
        <f>+AD88-O88</f>
        <v>-1033</v>
      </c>
      <c r="AG88" s="1332">
        <f>+AE88-P88</f>
        <v>-2066</v>
      </c>
      <c r="AH88" s="1331">
        <v>2</v>
      </c>
      <c r="AI88" s="1332">
        <v>68032</v>
      </c>
    </row>
    <row r="89" spans="1:35" s="734" customFormat="1" ht="12.75">
      <c r="A89" s="1264"/>
      <c r="B89" s="1373"/>
      <c r="C89" s="1374"/>
      <c r="D89" s="1374"/>
      <c r="E89" s="1374"/>
      <c r="F89" s="1374"/>
      <c r="G89" s="1374"/>
      <c r="H89" s="1374"/>
      <c r="I89" s="1374"/>
      <c r="J89" s="1374"/>
      <c r="K89" s="1375">
        <f>SUM(C89:J89)</f>
        <v>0</v>
      </c>
      <c r="L89" s="1374"/>
      <c r="M89" s="1374"/>
      <c r="N89" s="1311">
        <f>SUM(L89:M89)</f>
        <v>0</v>
      </c>
      <c r="O89" s="1374"/>
      <c r="P89" s="1376">
        <f>+O89*B89</f>
        <v>0</v>
      </c>
      <c r="Q89" s="1326"/>
      <c r="R89" s="1324"/>
      <c r="S89" s="1324"/>
      <c r="T89" s="1324"/>
      <c r="U89" s="1324"/>
      <c r="V89" s="1324"/>
      <c r="W89" s="1324"/>
      <c r="X89" s="1324"/>
      <c r="Y89" s="1324"/>
      <c r="Z89" s="1324"/>
      <c r="AA89" s="1324"/>
      <c r="AB89" s="1324"/>
      <c r="AC89" s="1328"/>
      <c r="AD89" s="1325"/>
      <c r="AE89" s="1326"/>
      <c r="AF89" s="1326"/>
      <c r="AG89" s="1327"/>
      <c r="AH89" s="1326"/>
      <c r="AI89" s="1327"/>
    </row>
    <row r="90" spans="1:35" s="734" customFormat="1" ht="13.5" thickBot="1">
      <c r="A90" s="1348"/>
      <c r="B90" s="1381"/>
      <c r="C90" s="1382"/>
      <c r="D90" s="1382"/>
      <c r="E90" s="1382"/>
      <c r="F90" s="1382"/>
      <c r="G90" s="1382"/>
      <c r="H90" s="1382"/>
      <c r="I90" s="1382"/>
      <c r="J90" s="1382"/>
      <c r="K90" s="1382"/>
      <c r="L90" s="1382"/>
      <c r="M90" s="1382"/>
      <c r="N90" s="1382"/>
      <c r="O90" s="1382"/>
      <c r="P90" s="1383"/>
      <c r="Q90" s="1338"/>
      <c r="R90" s="1335"/>
      <c r="S90" s="1335"/>
      <c r="T90" s="1335"/>
      <c r="U90" s="1335"/>
      <c r="V90" s="1335"/>
      <c r="W90" s="1335"/>
      <c r="X90" s="1335"/>
      <c r="Y90" s="1335"/>
      <c r="Z90" s="1335"/>
      <c r="AA90" s="1335"/>
      <c r="AB90" s="1335"/>
      <c r="AC90" s="1336"/>
      <c r="AD90" s="1337"/>
      <c r="AE90" s="1338"/>
      <c r="AF90" s="1338"/>
      <c r="AG90" s="1339"/>
      <c r="AH90" s="1338"/>
      <c r="AI90" s="1339"/>
    </row>
    <row r="91" spans="1:35" s="734" customFormat="1" ht="20.25" customHeight="1" thickBot="1">
      <c r="A91" s="1418" t="s">
        <v>0</v>
      </c>
      <c r="B91" s="1423">
        <f t="shared" ref="B91:AI91" si="17">+B74+B78+B84+B87</f>
        <v>48</v>
      </c>
      <c r="C91" s="1424">
        <f t="shared" si="17"/>
        <v>54519</v>
      </c>
      <c r="D91" s="1424">
        <f t="shared" si="17"/>
        <v>0</v>
      </c>
      <c r="E91" s="1424">
        <f t="shared" si="17"/>
        <v>0</v>
      </c>
      <c r="F91" s="1424">
        <f t="shared" si="17"/>
        <v>0</v>
      </c>
      <c r="G91" s="1424">
        <f t="shared" si="17"/>
        <v>0</v>
      </c>
      <c r="H91" s="1424">
        <f t="shared" si="17"/>
        <v>0</v>
      </c>
      <c r="I91" s="1424">
        <f t="shared" si="17"/>
        <v>0</v>
      </c>
      <c r="J91" s="1424">
        <f t="shared" si="17"/>
        <v>4979</v>
      </c>
      <c r="K91" s="1424">
        <f t="shared" si="17"/>
        <v>59498</v>
      </c>
      <c r="L91" s="1424">
        <f t="shared" si="17"/>
        <v>122196</v>
      </c>
      <c r="M91" s="1424">
        <f t="shared" si="17"/>
        <v>112075</v>
      </c>
      <c r="N91" s="1424">
        <f t="shared" si="17"/>
        <v>234271</v>
      </c>
      <c r="O91" s="1424">
        <f t="shared" si="17"/>
        <v>948247</v>
      </c>
      <c r="P91" s="1425">
        <f t="shared" si="17"/>
        <v>5733020</v>
      </c>
      <c r="Q91" s="1426">
        <f t="shared" si="17"/>
        <v>48</v>
      </c>
      <c r="R91" s="1427">
        <f t="shared" si="17"/>
        <v>52902</v>
      </c>
      <c r="S91" s="1427">
        <f t="shared" si="17"/>
        <v>0</v>
      </c>
      <c r="T91" s="1427">
        <f t="shared" si="17"/>
        <v>0</v>
      </c>
      <c r="U91" s="1427">
        <f t="shared" si="17"/>
        <v>0</v>
      </c>
      <c r="V91" s="1427">
        <f t="shared" si="17"/>
        <v>0</v>
      </c>
      <c r="W91" s="1427">
        <f t="shared" si="17"/>
        <v>0</v>
      </c>
      <c r="X91" s="1427">
        <f t="shared" si="17"/>
        <v>0</v>
      </c>
      <c r="Y91" s="1427">
        <f t="shared" si="17"/>
        <v>4761.18</v>
      </c>
      <c r="Z91" s="1427">
        <f t="shared" si="17"/>
        <v>57663.18</v>
      </c>
      <c r="AA91" s="1427">
        <f t="shared" si="17"/>
        <v>118526.36</v>
      </c>
      <c r="AB91" s="1427">
        <f t="shared" si="17"/>
        <v>107769</v>
      </c>
      <c r="AC91" s="1427">
        <f t="shared" si="17"/>
        <v>226295.36</v>
      </c>
      <c r="AD91" s="1427">
        <f t="shared" si="17"/>
        <v>918253.52</v>
      </c>
      <c r="AE91" s="1427">
        <f t="shared" si="17"/>
        <v>5457124.04</v>
      </c>
      <c r="AF91" s="1427">
        <f t="shared" si="17"/>
        <v>-29993.479999999996</v>
      </c>
      <c r="AG91" s="1427">
        <f t="shared" si="17"/>
        <v>-275895.95999999996</v>
      </c>
      <c r="AH91" s="1427">
        <f t="shared" si="17"/>
        <v>48</v>
      </c>
      <c r="AI91" s="1427">
        <f t="shared" si="17"/>
        <v>5457124</v>
      </c>
    </row>
    <row r="92" spans="1:35">
      <c r="A92" s="1257" t="s">
        <v>68</v>
      </c>
      <c r="B92" s="1259"/>
      <c r="C92" s="1255"/>
    </row>
    <row r="93" spans="1:35">
      <c r="A93" s="1255" t="s">
        <v>69</v>
      </c>
      <c r="B93" s="1258" t="s">
        <v>157</v>
      </c>
      <c r="C93" s="1257"/>
    </row>
    <row r="94" spans="1:35">
      <c r="A94" s="1255" t="s">
        <v>70</v>
      </c>
      <c r="B94" s="1256" t="s">
        <v>71</v>
      </c>
      <c r="C94" s="1255"/>
    </row>
    <row r="95" spans="1:35">
      <c r="A95" s="1255" t="s">
        <v>72</v>
      </c>
      <c r="B95" s="1256" t="s">
        <v>73</v>
      </c>
      <c r="C95" s="1255"/>
    </row>
    <row r="96" spans="1:35">
      <c r="A96" s="1255" t="s">
        <v>74</v>
      </c>
      <c r="B96" s="1256" t="s">
        <v>75</v>
      </c>
      <c r="C96" s="1255"/>
    </row>
    <row r="97" spans="1:3">
      <c r="A97" s="1255"/>
      <c r="B97" s="1256" t="s">
        <v>76</v>
      </c>
      <c r="C97" s="1255"/>
    </row>
    <row r="98" spans="1:3">
      <c r="A98" s="1256" t="s">
        <v>77</v>
      </c>
      <c r="B98" s="1256" t="s">
        <v>1328</v>
      </c>
      <c r="C98" s="1255"/>
    </row>
    <row r="99" spans="1:3">
      <c r="A99" s="1256"/>
      <c r="B99" s="1256" t="s">
        <v>78</v>
      </c>
      <c r="C99" s="1255"/>
    </row>
    <row r="100" spans="1:3">
      <c r="A100" s="1256"/>
      <c r="B100" s="1256" t="s">
        <v>79</v>
      </c>
      <c r="C100" s="1255"/>
    </row>
    <row r="101" spans="1:3">
      <c r="A101" s="1255"/>
      <c r="B101" s="1256" t="s">
        <v>80</v>
      </c>
      <c r="C101" s="1255"/>
    </row>
    <row r="102" spans="1:3">
      <c r="A102" s="1255" t="s">
        <v>182</v>
      </c>
      <c r="B102" s="1256" t="s">
        <v>183</v>
      </c>
      <c r="C102" s="1255"/>
    </row>
    <row r="103" spans="1:3">
      <c r="A103" s="1255" t="s">
        <v>184</v>
      </c>
      <c r="B103" s="1256" t="s">
        <v>153</v>
      </c>
      <c r="C103" s="1255"/>
    </row>
    <row r="104" spans="1:3">
      <c r="A104" s="1255" t="s">
        <v>185</v>
      </c>
      <c r="B104" s="1256" t="s">
        <v>1329</v>
      </c>
      <c r="C104" s="1255"/>
    </row>
    <row r="105" spans="1:3">
      <c r="A105" s="1255"/>
      <c r="B105" s="1256" t="s">
        <v>78</v>
      </c>
      <c r="C105" s="1255"/>
    </row>
    <row r="106" spans="1:3">
      <c r="A106" s="1255"/>
      <c r="B106" s="1256" t="s">
        <v>79</v>
      </c>
      <c r="C106" s="1255"/>
    </row>
    <row r="107" spans="1:3">
      <c r="A107" s="1255"/>
      <c r="B107" s="1256" t="s">
        <v>117</v>
      </c>
      <c r="C107" s="1255"/>
    </row>
    <row r="108" spans="1:3">
      <c r="A108" s="1255" t="s">
        <v>194</v>
      </c>
      <c r="B108" s="1256" t="s">
        <v>195</v>
      </c>
      <c r="C108" s="1255"/>
    </row>
    <row r="109" spans="1:3">
      <c r="A109" s="1255" t="s">
        <v>192</v>
      </c>
      <c r="B109" s="1256" t="s">
        <v>188</v>
      </c>
      <c r="C109" s="1255"/>
    </row>
    <row r="110" spans="1:3">
      <c r="A110" s="1255" t="s">
        <v>193</v>
      </c>
      <c r="B110" s="1256" t="s">
        <v>196</v>
      </c>
      <c r="C110" s="1255"/>
    </row>
    <row r="115" spans="1:35" ht="21" customHeight="1" thickBot="1">
      <c r="A115" s="804" t="s">
        <v>549</v>
      </c>
      <c r="B115" s="807"/>
      <c r="C115" s="807"/>
      <c r="D115" s="807"/>
      <c r="E115" s="807"/>
      <c r="F115" s="807"/>
      <c r="G115" s="807"/>
      <c r="H115" s="807"/>
      <c r="I115" s="807"/>
      <c r="J115" s="807"/>
      <c r="K115" s="807"/>
      <c r="L115" s="807"/>
      <c r="M115" s="807"/>
      <c r="N115" s="807"/>
      <c r="O115" s="807"/>
      <c r="P115" s="807"/>
      <c r="Q115" s="807"/>
      <c r="R115" s="807"/>
      <c r="S115" s="807"/>
      <c r="T115" s="808"/>
      <c r="U115" s="807"/>
      <c r="V115" s="807"/>
      <c r="W115" s="807"/>
      <c r="X115" s="807"/>
      <c r="Y115" s="807"/>
      <c r="Z115" s="807"/>
      <c r="AA115" s="807"/>
      <c r="AB115" s="807"/>
      <c r="AC115" s="807"/>
      <c r="AD115" s="807"/>
      <c r="AE115" s="807"/>
      <c r="AF115" s="807"/>
      <c r="AG115" s="807"/>
      <c r="AH115" s="807"/>
      <c r="AI115" s="807"/>
    </row>
    <row r="116" spans="1:35" s="276" customFormat="1" ht="33" customHeight="1" thickBot="1">
      <c r="A116" s="1708" t="s">
        <v>59</v>
      </c>
      <c r="B116" s="1732" t="s">
        <v>326</v>
      </c>
      <c r="C116" s="1711"/>
      <c r="D116" s="1711"/>
      <c r="E116" s="1711"/>
      <c r="F116" s="1711"/>
      <c r="G116" s="1711"/>
      <c r="H116" s="1711"/>
      <c r="I116" s="1711"/>
      <c r="J116" s="1711"/>
      <c r="K116" s="1711"/>
      <c r="L116" s="1711"/>
      <c r="M116" s="1711"/>
      <c r="N116" s="1711"/>
      <c r="O116" s="1711"/>
      <c r="P116" s="1712"/>
      <c r="Q116" s="1732" t="s">
        <v>418</v>
      </c>
      <c r="R116" s="1711"/>
      <c r="S116" s="1711"/>
      <c r="T116" s="1711"/>
      <c r="U116" s="1711"/>
      <c r="V116" s="1711"/>
      <c r="W116" s="1711"/>
      <c r="X116" s="1711"/>
      <c r="Y116" s="1711"/>
      <c r="Z116" s="1711"/>
      <c r="AA116" s="1711"/>
      <c r="AB116" s="1711"/>
      <c r="AC116" s="1711"/>
      <c r="AD116" s="1711"/>
      <c r="AE116" s="1712"/>
      <c r="AF116" s="1718" t="s">
        <v>420</v>
      </c>
      <c r="AG116" s="1719"/>
      <c r="AH116" s="1718" t="s">
        <v>419</v>
      </c>
      <c r="AI116" s="1719"/>
    </row>
    <row r="117" spans="1:35" ht="129.94999999999999" customHeight="1">
      <c r="A117" s="1730"/>
      <c r="B117" s="809" t="s">
        <v>11</v>
      </c>
      <c r="C117" s="810" t="s">
        <v>144</v>
      </c>
      <c r="D117" s="811" t="s">
        <v>265</v>
      </c>
      <c r="E117" s="811" t="s">
        <v>146</v>
      </c>
      <c r="F117" s="811" t="s">
        <v>178</v>
      </c>
      <c r="G117" s="811" t="s">
        <v>179</v>
      </c>
      <c r="H117" s="811" t="s">
        <v>180</v>
      </c>
      <c r="I117" s="811" t="s">
        <v>181</v>
      </c>
      <c r="J117" s="811" t="s">
        <v>147</v>
      </c>
      <c r="K117" s="811" t="s">
        <v>148</v>
      </c>
      <c r="L117" s="811" t="s">
        <v>149</v>
      </c>
      <c r="M117" s="811" t="s">
        <v>177</v>
      </c>
      <c r="N117" s="812" t="s">
        <v>119</v>
      </c>
      <c r="O117" s="813" t="s">
        <v>152</v>
      </c>
      <c r="P117" s="814" t="s">
        <v>151</v>
      </c>
      <c r="Q117" s="809" t="s">
        <v>11</v>
      </c>
      <c r="R117" s="810" t="s">
        <v>144</v>
      </c>
      <c r="S117" s="811" t="s">
        <v>145</v>
      </c>
      <c r="T117" s="811" t="s">
        <v>146</v>
      </c>
      <c r="U117" s="811" t="s">
        <v>178</v>
      </c>
      <c r="V117" s="811" t="s">
        <v>179</v>
      </c>
      <c r="W117" s="811" t="s">
        <v>180</v>
      </c>
      <c r="X117" s="811" t="s">
        <v>181</v>
      </c>
      <c r="Y117" s="811" t="s">
        <v>147</v>
      </c>
      <c r="Z117" s="811" t="s">
        <v>148</v>
      </c>
      <c r="AA117" s="811" t="s">
        <v>149</v>
      </c>
      <c r="AB117" s="811" t="s">
        <v>177</v>
      </c>
      <c r="AC117" s="812" t="s">
        <v>119</v>
      </c>
      <c r="AD117" s="813" t="s">
        <v>152</v>
      </c>
      <c r="AE117" s="814" t="s">
        <v>1316</v>
      </c>
      <c r="AF117" s="815" t="s">
        <v>156</v>
      </c>
      <c r="AG117" s="815" t="s">
        <v>155</v>
      </c>
      <c r="AH117" s="815" t="s">
        <v>11</v>
      </c>
      <c r="AI117" s="814" t="s">
        <v>1317</v>
      </c>
    </row>
    <row r="118" spans="1:35" ht="12.75" thickBot="1">
      <c r="A118" s="1731"/>
      <c r="B118" s="816" t="s">
        <v>60</v>
      </c>
      <c r="C118" s="817" t="s">
        <v>61</v>
      </c>
      <c r="D118" s="818" t="s">
        <v>62</v>
      </c>
      <c r="E118" s="818" t="s">
        <v>63</v>
      </c>
      <c r="F118" s="819" t="s">
        <v>64</v>
      </c>
      <c r="G118" s="819" t="s">
        <v>65</v>
      </c>
      <c r="H118" s="819" t="s">
        <v>81</v>
      </c>
      <c r="I118" s="819" t="s">
        <v>118</v>
      </c>
      <c r="J118" s="819" t="s">
        <v>150</v>
      </c>
      <c r="K118" s="819" t="s">
        <v>154</v>
      </c>
      <c r="L118" s="819" t="s">
        <v>186</v>
      </c>
      <c r="M118" s="819" t="s">
        <v>187</v>
      </c>
      <c r="N118" s="820" t="s">
        <v>189</v>
      </c>
      <c r="O118" s="821" t="s">
        <v>190</v>
      </c>
      <c r="P118" s="822" t="s">
        <v>191</v>
      </c>
      <c r="Q118" s="816" t="s">
        <v>60</v>
      </c>
      <c r="R118" s="817" t="s">
        <v>61</v>
      </c>
      <c r="S118" s="818" t="s">
        <v>62</v>
      </c>
      <c r="T118" s="818" t="s">
        <v>63</v>
      </c>
      <c r="U118" s="819" t="s">
        <v>64</v>
      </c>
      <c r="V118" s="819" t="s">
        <v>65</v>
      </c>
      <c r="W118" s="819" t="s">
        <v>81</v>
      </c>
      <c r="X118" s="819" t="s">
        <v>118</v>
      </c>
      <c r="Y118" s="819" t="s">
        <v>150</v>
      </c>
      <c r="Z118" s="819" t="s">
        <v>154</v>
      </c>
      <c r="AA118" s="819" t="s">
        <v>186</v>
      </c>
      <c r="AB118" s="819" t="s">
        <v>187</v>
      </c>
      <c r="AC118" s="820" t="s">
        <v>189</v>
      </c>
      <c r="AD118" s="821" t="s">
        <v>190</v>
      </c>
      <c r="AE118" s="822" t="s">
        <v>191</v>
      </c>
      <c r="AF118" s="823"/>
      <c r="AG118" s="816"/>
      <c r="AH118" s="823"/>
      <c r="AI118" s="816"/>
    </row>
    <row r="119" spans="1:35" s="734" customFormat="1" ht="12.75">
      <c r="A119" s="1294"/>
      <c r="B119" s="1273"/>
      <c r="C119" s="1266"/>
      <c r="D119" s="1266"/>
      <c r="E119" s="1266"/>
      <c r="F119" s="1266"/>
      <c r="G119" s="1266"/>
      <c r="H119" s="1266"/>
      <c r="I119" s="1266"/>
      <c r="J119" s="1266"/>
      <c r="K119" s="1266"/>
      <c r="L119" s="1266"/>
      <c r="M119" s="1266"/>
      <c r="N119" s="1270"/>
      <c r="O119" s="1269"/>
      <c r="P119" s="1340"/>
      <c r="Q119" s="1273"/>
      <c r="R119" s="1267"/>
      <c r="S119" s="1267"/>
      <c r="T119" s="1267"/>
      <c r="U119" s="1267"/>
      <c r="V119" s="1267"/>
      <c r="W119" s="1267"/>
      <c r="X119" s="1267"/>
      <c r="Y119" s="1267"/>
      <c r="Z119" s="1267"/>
      <c r="AA119" s="1267"/>
      <c r="AB119" s="1267"/>
      <c r="AC119" s="1268"/>
      <c r="AD119" s="1271"/>
      <c r="AE119" s="1272"/>
      <c r="AF119" s="1272"/>
      <c r="AG119" s="1273"/>
      <c r="AH119" s="1429"/>
      <c r="AI119" s="1273"/>
    </row>
    <row r="120" spans="1:35" s="734" customFormat="1" ht="12.75">
      <c r="A120" s="1430" t="s">
        <v>7</v>
      </c>
      <c r="B120" s="1431">
        <v>18</v>
      </c>
      <c r="C120" s="1432">
        <v>61600</v>
      </c>
      <c r="D120" s="1433"/>
      <c r="E120" s="1433"/>
      <c r="F120" s="1433"/>
      <c r="G120" s="1433"/>
      <c r="H120" s="1434"/>
      <c r="I120" s="1432"/>
      <c r="J120" s="1434"/>
      <c r="K120" s="1432">
        <v>61600</v>
      </c>
      <c r="L120" s="1434">
        <v>278400</v>
      </c>
      <c r="M120" s="1434">
        <v>167180.24</v>
      </c>
      <c r="N120" s="1433">
        <v>445580.24</v>
      </c>
      <c r="O120" s="1435">
        <v>2936780.24</v>
      </c>
      <c r="P120" s="1436">
        <v>2936780.24</v>
      </c>
      <c r="Q120" s="1437">
        <v>18</v>
      </c>
      <c r="R120" s="1432">
        <v>61600</v>
      </c>
      <c r="S120" s="1433"/>
      <c r="T120" s="1433"/>
      <c r="U120" s="1433"/>
      <c r="V120" s="1433"/>
      <c r="W120" s="1434"/>
      <c r="X120" s="1432"/>
      <c r="Y120" s="1434"/>
      <c r="Z120" s="1432">
        <v>61600</v>
      </c>
      <c r="AA120" s="1434">
        <v>422400</v>
      </c>
      <c r="AB120" s="1434">
        <v>261576</v>
      </c>
      <c r="AC120" s="1433">
        <v>683976</v>
      </c>
      <c r="AD120" s="1435">
        <v>3175176</v>
      </c>
      <c r="AE120" s="1436">
        <v>3175176</v>
      </c>
      <c r="AF120" s="1438">
        <v>-238395.75999999978</v>
      </c>
      <c r="AG120" s="1438">
        <v>0</v>
      </c>
      <c r="AH120" s="1437">
        <v>18</v>
      </c>
      <c r="AI120" s="1436">
        <f>SUM(AI121:AI125)</f>
        <v>3348014.3600000003</v>
      </c>
    </row>
    <row r="121" spans="1:35" s="734" customFormat="1" ht="12.75">
      <c r="A121" s="1439" t="s">
        <v>749</v>
      </c>
      <c r="B121" s="1308">
        <v>5</v>
      </c>
      <c r="C121" s="1440">
        <v>9500</v>
      </c>
      <c r="D121" s="1441"/>
      <c r="E121" s="1441"/>
      <c r="F121" s="1441"/>
      <c r="G121" s="1441"/>
      <c r="H121" s="1442"/>
      <c r="I121" s="1443"/>
      <c r="J121" s="1442"/>
      <c r="K121" s="1443">
        <v>9500</v>
      </c>
      <c r="L121" s="1442">
        <v>97000</v>
      </c>
      <c r="M121" s="1443">
        <v>59850</v>
      </c>
      <c r="N121" s="1441">
        <v>156850</v>
      </c>
      <c r="O121" s="1444">
        <v>726850</v>
      </c>
      <c r="P121" s="1445">
        <v>726850</v>
      </c>
      <c r="Q121" s="1309">
        <v>5</v>
      </c>
      <c r="R121" s="1440">
        <v>9500</v>
      </c>
      <c r="S121" s="1441"/>
      <c r="T121" s="1441"/>
      <c r="U121" s="1441"/>
      <c r="V121" s="1441"/>
      <c r="W121" s="1442"/>
      <c r="X121" s="1443"/>
      <c r="Y121" s="1442"/>
      <c r="Z121" s="1443">
        <v>9500</v>
      </c>
      <c r="AA121" s="1442">
        <v>97000</v>
      </c>
      <c r="AB121" s="1443">
        <v>59850</v>
      </c>
      <c r="AC121" s="1441">
        <v>156850</v>
      </c>
      <c r="AD121" s="1444">
        <v>726850</v>
      </c>
      <c r="AE121" s="1445">
        <v>726850</v>
      </c>
      <c r="AF121" s="1446">
        <v>0</v>
      </c>
      <c r="AG121" s="1447">
        <v>0</v>
      </c>
      <c r="AH121" s="1309">
        <v>5</v>
      </c>
      <c r="AI121" s="1445">
        <v>790625.54</v>
      </c>
    </row>
    <row r="122" spans="1:35" s="734" customFormat="1" ht="12.75">
      <c r="A122" s="1448" t="s">
        <v>750</v>
      </c>
      <c r="B122" s="1316">
        <v>1</v>
      </c>
      <c r="C122" s="1449">
        <v>10500</v>
      </c>
      <c r="D122" s="1450"/>
      <c r="E122" s="1450"/>
      <c r="F122" s="1450"/>
      <c r="G122" s="1450"/>
      <c r="H122" s="1451"/>
      <c r="I122" s="1452"/>
      <c r="J122" s="1451"/>
      <c r="K122" s="1452">
        <v>10500</v>
      </c>
      <c r="L122" s="1451">
        <v>21400</v>
      </c>
      <c r="M122" s="1452">
        <v>13230</v>
      </c>
      <c r="N122" s="1450">
        <v>34630</v>
      </c>
      <c r="O122" s="1453">
        <v>160630</v>
      </c>
      <c r="P122" s="1454">
        <v>160630</v>
      </c>
      <c r="Q122" s="1317">
        <v>1</v>
      </c>
      <c r="R122" s="1449">
        <v>10500</v>
      </c>
      <c r="S122" s="1450"/>
      <c r="T122" s="1450"/>
      <c r="U122" s="1450"/>
      <c r="V122" s="1450"/>
      <c r="W122" s="1451"/>
      <c r="X122" s="1452"/>
      <c r="Y122" s="1451"/>
      <c r="Z122" s="1452">
        <v>10500</v>
      </c>
      <c r="AA122" s="1451">
        <v>21400</v>
      </c>
      <c r="AB122" s="1452">
        <v>13230</v>
      </c>
      <c r="AC122" s="1450">
        <v>34630</v>
      </c>
      <c r="AD122" s="1453">
        <v>160630</v>
      </c>
      <c r="AE122" s="1454">
        <v>160630</v>
      </c>
      <c r="AF122" s="1455">
        <v>0</v>
      </c>
      <c r="AG122" s="1456">
        <v>0</v>
      </c>
      <c r="AH122" s="1317">
        <v>1</v>
      </c>
      <c r="AI122" s="1454">
        <v>174566.58</v>
      </c>
    </row>
    <row r="123" spans="1:35" s="734" customFormat="1" ht="12.75">
      <c r="A123" s="1448" t="s">
        <v>751</v>
      </c>
      <c r="B123" s="1316">
        <v>10</v>
      </c>
      <c r="C123" s="1449">
        <v>12000</v>
      </c>
      <c r="D123" s="1450"/>
      <c r="E123" s="1450"/>
      <c r="F123" s="1450"/>
      <c r="G123" s="1450"/>
      <c r="H123" s="1451"/>
      <c r="I123" s="1452"/>
      <c r="J123" s="1451"/>
      <c r="K123" s="1452">
        <v>12000</v>
      </c>
      <c r="L123" s="1451">
        <v>100000</v>
      </c>
      <c r="M123" s="1452">
        <v>56804.24</v>
      </c>
      <c r="N123" s="1450">
        <v>156804.24</v>
      </c>
      <c r="O123" s="1453">
        <v>1596804.24</v>
      </c>
      <c r="P123" s="1454">
        <v>1596804.24</v>
      </c>
      <c r="Q123" s="1317">
        <v>10</v>
      </c>
      <c r="R123" s="1449">
        <v>12000</v>
      </c>
      <c r="S123" s="1450"/>
      <c r="T123" s="1450"/>
      <c r="U123" s="1450"/>
      <c r="V123" s="1450"/>
      <c r="W123" s="1451"/>
      <c r="X123" s="1452"/>
      <c r="Y123" s="1451"/>
      <c r="Z123" s="1452">
        <v>12000</v>
      </c>
      <c r="AA123" s="1451">
        <v>244000</v>
      </c>
      <c r="AB123" s="1452">
        <v>151200</v>
      </c>
      <c r="AC123" s="1450">
        <v>395200</v>
      </c>
      <c r="AD123" s="1453">
        <v>1835200</v>
      </c>
      <c r="AE123" s="1454">
        <v>1835200</v>
      </c>
      <c r="AF123" s="1455">
        <v>-238395.76</v>
      </c>
      <c r="AG123" s="1456">
        <v>0</v>
      </c>
      <c r="AH123" s="1317">
        <v>10</v>
      </c>
      <c r="AI123" s="1454">
        <v>1892290.75</v>
      </c>
    </row>
    <row r="124" spans="1:35" s="734" customFormat="1" ht="12.75">
      <c r="A124" s="1448" t="s">
        <v>752</v>
      </c>
      <c r="B124" s="1316">
        <v>1</v>
      </c>
      <c r="C124" s="1449">
        <v>14000</v>
      </c>
      <c r="D124" s="1450"/>
      <c r="E124" s="1450"/>
      <c r="F124" s="1450"/>
      <c r="G124" s="1450"/>
      <c r="H124" s="1451"/>
      <c r="I124" s="1452"/>
      <c r="J124" s="1451"/>
      <c r="K124" s="1452">
        <v>14000</v>
      </c>
      <c r="L124" s="1451">
        <v>28400</v>
      </c>
      <c r="M124" s="1452">
        <v>17640</v>
      </c>
      <c r="N124" s="1450">
        <v>46040</v>
      </c>
      <c r="O124" s="1453">
        <v>214040</v>
      </c>
      <c r="P124" s="1454">
        <v>214040</v>
      </c>
      <c r="Q124" s="1317">
        <v>1</v>
      </c>
      <c r="R124" s="1449">
        <v>14000</v>
      </c>
      <c r="S124" s="1450"/>
      <c r="T124" s="1450"/>
      <c r="U124" s="1450"/>
      <c r="V124" s="1450"/>
      <c r="W124" s="1451"/>
      <c r="X124" s="1452"/>
      <c r="Y124" s="1451"/>
      <c r="Z124" s="1452">
        <v>14000</v>
      </c>
      <c r="AA124" s="1451">
        <v>28400</v>
      </c>
      <c r="AB124" s="1452">
        <v>17640</v>
      </c>
      <c r="AC124" s="1450">
        <v>46040</v>
      </c>
      <c r="AD124" s="1453">
        <v>214040</v>
      </c>
      <c r="AE124" s="1454">
        <v>214040</v>
      </c>
      <c r="AF124" s="1455">
        <v>0</v>
      </c>
      <c r="AG124" s="1456">
        <v>0</v>
      </c>
      <c r="AH124" s="1317">
        <v>1</v>
      </c>
      <c r="AI124" s="1454">
        <v>232112.41</v>
      </c>
    </row>
    <row r="125" spans="1:35" s="734" customFormat="1" ht="12.75">
      <c r="A125" s="1448" t="s">
        <v>753</v>
      </c>
      <c r="B125" s="1316">
        <v>1</v>
      </c>
      <c r="C125" s="1449">
        <v>15600</v>
      </c>
      <c r="D125" s="1450"/>
      <c r="E125" s="1450"/>
      <c r="F125" s="1450"/>
      <c r="G125" s="1450"/>
      <c r="H125" s="1451"/>
      <c r="I125" s="1452"/>
      <c r="J125" s="1451"/>
      <c r="K125" s="1452">
        <v>15600</v>
      </c>
      <c r="L125" s="1451">
        <v>31600</v>
      </c>
      <c r="M125" s="1452">
        <v>19656</v>
      </c>
      <c r="N125" s="1450">
        <v>51256</v>
      </c>
      <c r="O125" s="1453">
        <v>238456</v>
      </c>
      <c r="P125" s="1454">
        <v>238456</v>
      </c>
      <c r="Q125" s="1317">
        <v>1</v>
      </c>
      <c r="R125" s="1449">
        <v>15600</v>
      </c>
      <c r="S125" s="1450"/>
      <c r="T125" s="1450"/>
      <c r="U125" s="1450"/>
      <c r="V125" s="1450"/>
      <c r="W125" s="1451"/>
      <c r="X125" s="1452"/>
      <c r="Y125" s="1451"/>
      <c r="Z125" s="1452">
        <v>15600</v>
      </c>
      <c r="AA125" s="1451">
        <v>31600</v>
      </c>
      <c r="AB125" s="1452">
        <v>19656</v>
      </c>
      <c r="AC125" s="1450">
        <v>51256</v>
      </c>
      <c r="AD125" s="1453">
        <v>238456</v>
      </c>
      <c r="AE125" s="1454">
        <v>238456</v>
      </c>
      <c r="AF125" s="1455">
        <v>0</v>
      </c>
      <c r="AG125" s="1456">
        <v>0</v>
      </c>
      <c r="AH125" s="1317">
        <v>1</v>
      </c>
      <c r="AI125" s="1454">
        <v>258419.08</v>
      </c>
    </row>
    <row r="126" spans="1:35" s="734" customFormat="1" ht="12.75">
      <c r="A126" s="1457"/>
      <c r="B126" s="1458"/>
      <c r="C126" s="1459"/>
      <c r="D126" s="1460"/>
      <c r="E126" s="1460"/>
      <c r="F126" s="1460"/>
      <c r="G126" s="1460"/>
      <c r="H126" s="1461"/>
      <c r="I126" s="1462"/>
      <c r="J126" s="1461"/>
      <c r="K126" s="1462"/>
      <c r="L126" s="1461"/>
      <c r="M126" s="1462"/>
      <c r="N126" s="1460"/>
      <c r="O126" s="1463"/>
      <c r="P126" s="1464"/>
      <c r="Q126" s="1323"/>
      <c r="R126" s="1459"/>
      <c r="S126" s="1460"/>
      <c r="T126" s="1460"/>
      <c r="U126" s="1460"/>
      <c r="V126" s="1460"/>
      <c r="W126" s="1461"/>
      <c r="X126" s="1462"/>
      <c r="Y126" s="1461"/>
      <c r="Z126" s="1462"/>
      <c r="AA126" s="1461"/>
      <c r="AB126" s="1462"/>
      <c r="AC126" s="1460"/>
      <c r="AD126" s="1463"/>
      <c r="AE126" s="1464"/>
      <c r="AF126" s="1465"/>
      <c r="AG126" s="1466"/>
      <c r="AH126" s="1323"/>
      <c r="AI126" s="1464"/>
    </row>
    <row r="127" spans="1:35" s="734" customFormat="1" ht="12.75">
      <c r="A127" s="1430" t="s">
        <v>4</v>
      </c>
      <c r="B127" s="1431">
        <v>139</v>
      </c>
      <c r="C127" s="1432">
        <v>56300</v>
      </c>
      <c r="D127" s="1433"/>
      <c r="E127" s="1433"/>
      <c r="F127" s="1433"/>
      <c r="G127" s="1433"/>
      <c r="H127" s="1434"/>
      <c r="I127" s="1432"/>
      <c r="J127" s="1434"/>
      <c r="K127" s="1432">
        <v>56300</v>
      </c>
      <c r="L127" s="1434">
        <v>953200</v>
      </c>
      <c r="M127" s="1434">
        <v>775184</v>
      </c>
      <c r="N127" s="1433">
        <v>1728384</v>
      </c>
      <c r="O127" s="1435">
        <v>11820984</v>
      </c>
      <c r="P127" s="1436">
        <v>11820984</v>
      </c>
      <c r="Q127" s="1437">
        <v>139</v>
      </c>
      <c r="R127" s="1432">
        <v>56300</v>
      </c>
      <c r="S127" s="1433"/>
      <c r="T127" s="1433"/>
      <c r="U127" s="1433"/>
      <c r="V127" s="1433"/>
      <c r="W127" s="1434"/>
      <c r="X127" s="1432"/>
      <c r="Y127" s="1434"/>
      <c r="Z127" s="1432">
        <v>56300</v>
      </c>
      <c r="AA127" s="1434">
        <v>1654984</v>
      </c>
      <c r="AB127" s="1434">
        <v>1059723</v>
      </c>
      <c r="AC127" s="1433">
        <v>2714707</v>
      </c>
      <c r="AD127" s="1435">
        <v>12807307</v>
      </c>
      <c r="AE127" s="1436">
        <v>12807307</v>
      </c>
      <c r="AF127" s="1438">
        <v>-986323</v>
      </c>
      <c r="AG127" s="1438">
        <v>0</v>
      </c>
      <c r="AH127" s="1437">
        <v>137</v>
      </c>
      <c r="AI127" s="1436">
        <f>SUM(AI128:AI138)</f>
        <v>12393231.85</v>
      </c>
    </row>
    <row r="128" spans="1:35" s="734" customFormat="1" ht="12.75">
      <c r="A128" s="1468" t="s">
        <v>754</v>
      </c>
      <c r="B128" s="1308">
        <v>10</v>
      </c>
      <c r="C128" s="1440">
        <v>4800</v>
      </c>
      <c r="D128" s="1441"/>
      <c r="E128" s="1441"/>
      <c r="F128" s="1441"/>
      <c r="G128" s="1441"/>
      <c r="H128" s="1442"/>
      <c r="I128" s="1443"/>
      <c r="J128" s="1442"/>
      <c r="K128" s="1443">
        <v>4800</v>
      </c>
      <c r="L128" s="1442">
        <v>100000</v>
      </c>
      <c r="M128" s="1443">
        <v>60480</v>
      </c>
      <c r="N128" s="1441">
        <v>160480</v>
      </c>
      <c r="O128" s="1444">
        <v>736480</v>
      </c>
      <c r="P128" s="1445">
        <v>736480</v>
      </c>
      <c r="Q128" s="1309">
        <v>10</v>
      </c>
      <c r="R128" s="1440">
        <v>4800</v>
      </c>
      <c r="S128" s="1441"/>
      <c r="T128" s="1441"/>
      <c r="U128" s="1441"/>
      <c r="V128" s="1441"/>
      <c r="W128" s="1442"/>
      <c r="X128" s="1443"/>
      <c r="Y128" s="1442"/>
      <c r="Z128" s="1443">
        <v>4800</v>
      </c>
      <c r="AA128" s="1442">
        <v>100000</v>
      </c>
      <c r="AB128" s="1443">
        <v>60480</v>
      </c>
      <c r="AC128" s="1441">
        <v>160480</v>
      </c>
      <c r="AD128" s="1444">
        <v>736480</v>
      </c>
      <c r="AE128" s="1445">
        <v>736480</v>
      </c>
      <c r="AF128" s="1446">
        <v>0</v>
      </c>
      <c r="AG128" s="1447">
        <v>0</v>
      </c>
      <c r="AH128" s="1309">
        <v>9</v>
      </c>
      <c r="AI128" s="1469">
        <v>808490.75</v>
      </c>
    </row>
    <row r="129" spans="1:35" s="734" customFormat="1" ht="12.75">
      <c r="A129" s="1470" t="s">
        <v>756</v>
      </c>
      <c r="B129" s="1316">
        <v>14</v>
      </c>
      <c r="C129" s="1449">
        <v>5250</v>
      </c>
      <c r="D129" s="1450"/>
      <c r="E129" s="1450"/>
      <c r="F129" s="1450"/>
      <c r="G129" s="1450"/>
      <c r="H129" s="1451"/>
      <c r="I129" s="1452"/>
      <c r="J129" s="1451"/>
      <c r="K129" s="1452">
        <v>5250</v>
      </c>
      <c r="L129" s="1451">
        <v>152600</v>
      </c>
      <c r="M129" s="1452">
        <v>92610</v>
      </c>
      <c r="N129" s="1450">
        <v>245210</v>
      </c>
      <c r="O129" s="1453">
        <v>1127210</v>
      </c>
      <c r="P129" s="1454">
        <v>1127210</v>
      </c>
      <c r="Q129" s="1317">
        <v>14</v>
      </c>
      <c r="R129" s="1449">
        <v>5250</v>
      </c>
      <c r="S129" s="1450"/>
      <c r="T129" s="1450"/>
      <c r="U129" s="1450"/>
      <c r="V129" s="1450"/>
      <c r="W129" s="1451"/>
      <c r="X129" s="1452"/>
      <c r="Y129" s="1451"/>
      <c r="Z129" s="1452">
        <v>5250</v>
      </c>
      <c r="AA129" s="1451">
        <v>152600</v>
      </c>
      <c r="AB129" s="1452">
        <v>92610</v>
      </c>
      <c r="AC129" s="1450">
        <v>245210</v>
      </c>
      <c r="AD129" s="1453">
        <v>1127210</v>
      </c>
      <c r="AE129" s="1454">
        <v>1127210</v>
      </c>
      <c r="AF129" s="1455">
        <v>0</v>
      </c>
      <c r="AG129" s="1456">
        <v>0</v>
      </c>
      <c r="AH129" s="1317">
        <v>14</v>
      </c>
      <c r="AI129" s="1471">
        <v>1135469.55</v>
      </c>
    </row>
    <row r="130" spans="1:35" s="734" customFormat="1" ht="12.75">
      <c r="A130" s="1470" t="s">
        <v>757</v>
      </c>
      <c r="B130" s="1316">
        <v>16</v>
      </c>
      <c r="C130" s="1449">
        <v>5550</v>
      </c>
      <c r="D130" s="1450"/>
      <c r="E130" s="1450"/>
      <c r="F130" s="1450"/>
      <c r="G130" s="1450"/>
      <c r="H130" s="1451"/>
      <c r="I130" s="1452"/>
      <c r="J130" s="1451"/>
      <c r="K130" s="1452">
        <v>5550</v>
      </c>
      <c r="L130" s="1451">
        <v>184000</v>
      </c>
      <c r="M130" s="1452">
        <v>111888</v>
      </c>
      <c r="N130" s="1450">
        <v>295888</v>
      </c>
      <c r="O130" s="1453">
        <v>1361488</v>
      </c>
      <c r="P130" s="1454">
        <v>1361488</v>
      </c>
      <c r="Q130" s="1317">
        <v>16</v>
      </c>
      <c r="R130" s="1449">
        <v>5550</v>
      </c>
      <c r="S130" s="1450"/>
      <c r="T130" s="1450"/>
      <c r="U130" s="1450"/>
      <c r="V130" s="1450"/>
      <c r="W130" s="1451"/>
      <c r="X130" s="1452"/>
      <c r="Y130" s="1451"/>
      <c r="Z130" s="1452">
        <v>5550</v>
      </c>
      <c r="AA130" s="1451">
        <v>184000</v>
      </c>
      <c r="AB130" s="1452">
        <v>111888</v>
      </c>
      <c r="AC130" s="1450">
        <v>295888</v>
      </c>
      <c r="AD130" s="1453">
        <v>1361488</v>
      </c>
      <c r="AE130" s="1454">
        <v>1361488</v>
      </c>
      <c r="AF130" s="1455">
        <v>0</v>
      </c>
      <c r="AG130" s="1456">
        <v>0</v>
      </c>
      <c r="AH130" s="1317">
        <v>15</v>
      </c>
      <c r="AI130" s="1454">
        <v>1397707.87</v>
      </c>
    </row>
    <row r="131" spans="1:35" s="734" customFormat="1" ht="12.75">
      <c r="A131" s="1448" t="s">
        <v>758</v>
      </c>
      <c r="B131" s="1316">
        <v>25</v>
      </c>
      <c r="C131" s="1449">
        <v>5900</v>
      </c>
      <c r="D131" s="1450"/>
      <c r="E131" s="1450"/>
      <c r="F131" s="1450"/>
      <c r="G131" s="1450"/>
      <c r="H131" s="1451"/>
      <c r="I131" s="1452"/>
      <c r="J131" s="1451"/>
      <c r="K131" s="1452">
        <v>5900</v>
      </c>
      <c r="L131" s="1451">
        <v>100000</v>
      </c>
      <c r="M131" s="1452">
        <v>100000</v>
      </c>
      <c r="N131" s="1450">
        <v>200000</v>
      </c>
      <c r="O131" s="1453">
        <v>1970000</v>
      </c>
      <c r="P131" s="1454">
        <v>1970000</v>
      </c>
      <c r="Q131" s="1317">
        <v>25</v>
      </c>
      <c r="R131" s="1449">
        <v>5900</v>
      </c>
      <c r="S131" s="1450"/>
      <c r="T131" s="1450"/>
      <c r="U131" s="1450"/>
      <c r="V131" s="1450"/>
      <c r="W131" s="1451"/>
      <c r="X131" s="1452"/>
      <c r="Y131" s="1451"/>
      <c r="Z131" s="1452">
        <v>5900</v>
      </c>
      <c r="AA131" s="1451">
        <v>222284</v>
      </c>
      <c r="AB131" s="1452">
        <v>185850</v>
      </c>
      <c r="AC131" s="1450">
        <v>408134</v>
      </c>
      <c r="AD131" s="1453">
        <v>2178134</v>
      </c>
      <c r="AE131" s="1454">
        <v>2178134</v>
      </c>
      <c r="AF131" s="1455">
        <v>-208134</v>
      </c>
      <c r="AG131" s="1456">
        <v>0</v>
      </c>
      <c r="AH131" s="1317">
        <v>25</v>
      </c>
      <c r="AI131" s="1454">
        <v>2173375.71</v>
      </c>
    </row>
    <row r="132" spans="1:35" s="734" customFormat="1" ht="12.75">
      <c r="A132" s="1448" t="s">
        <v>759</v>
      </c>
      <c r="B132" s="1316">
        <v>28</v>
      </c>
      <c r="C132" s="1449">
        <v>6200</v>
      </c>
      <c r="D132" s="1450"/>
      <c r="E132" s="1450"/>
      <c r="F132" s="1450"/>
      <c r="G132" s="1450"/>
      <c r="H132" s="1451"/>
      <c r="I132" s="1452"/>
      <c r="J132" s="1451"/>
      <c r="K132" s="1452">
        <v>6200</v>
      </c>
      <c r="L132" s="1451">
        <v>100000</v>
      </c>
      <c r="M132" s="1452">
        <v>100000</v>
      </c>
      <c r="N132" s="1450">
        <v>200000</v>
      </c>
      <c r="O132" s="1453">
        <v>2283200</v>
      </c>
      <c r="P132" s="1454">
        <v>2283200</v>
      </c>
      <c r="Q132" s="1317">
        <v>28</v>
      </c>
      <c r="R132" s="1449">
        <v>6200</v>
      </c>
      <c r="S132" s="1450"/>
      <c r="T132" s="1450"/>
      <c r="U132" s="1450"/>
      <c r="V132" s="1450"/>
      <c r="W132" s="1451"/>
      <c r="X132" s="1452"/>
      <c r="Y132" s="1451"/>
      <c r="Z132" s="1452">
        <v>6200</v>
      </c>
      <c r="AA132" s="1451">
        <v>358400</v>
      </c>
      <c r="AB132" s="1452">
        <v>218736</v>
      </c>
      <c r="AC132" s="1450">
        <v>577136</v>
      </c>
      <c r="AD132" s="1453">
        <v>2660336</v>
      </c>
      <c r="AE132" s="1454">
        <v>2660336</v>
      </c>
      <c r="AF132" s="1455">
        <v>-377136</v>
      </c>
      <c r="AG132" s="1456">
        <v>0</v>
      </c>
      <c r="AH132" s="1317">
        <v>28</v>
      </c>
      <c r="AI132" s="1454">
        <v>2308288.4300000002</v>
      </c>
    </row>
    <row r="133" spans="1:35" s="734" customFormat="1" ht="12.75">
      <c r="A133" s="1448" t="s">
        <v>760</v>
      </c>
      <c r="B133" s="1316">
        <v>26</v>
      </c>
      <c r="C133" s="1449">
        <v>6500</v>
      </c>
      <c r="D133" s="1450"/>
      <c r="E133" s="1450"/>
      <c r="F133" s="1450"/>
      <c r="G133" s="1450"/>
      <c r="H133" s="1451"/>
      <c r="I133" s="1452"/>
      <c r="J133" s="1451"/>
      <c r="K133" s="1452">
        <v>6500</v>
      </c>
      <c r="L133" s="1451">
        <v>100000</v>
      </c>
      <c r="M133" s="1452">
        <v>100000</v>
      </c>
      <c r="N133" s="1450">
        <v>200000</v>
      </c>
      <c r="O133" s="1453">
        <v>2228000</v>
      </c>
      <c r="P133" s="1454">
        <v>2228000</v>
      </c>
      <c r="Q133" s="1317">
        <v>26</v>
      </c>
      <c r="R133" s="1449">
        <v>6500</v>
      </c>
      <c r="S133" s="1450"/>
      <c r="T133" s="1450"/>
      <c r="U133" s="1450"/>
      <c r="V133" s="1450"/>
      <c r="W133" s="1451"/>
      <c r="X133" s="1452"/>
      <c r="Y133" s="1451"/>
      <c r="Z133" s="1452">
        <v>6500</v>
      </c>
      <c r="AA133" s="1451">
        <v>348400</v>
      </c>
      <c r="AB133" s="1452">
        <v>212940</v>
      </c>
      <c r="AC133" s="1450">
        <v>561340</v>
      </c>
      <c r="AD133" s="1453">
        <v>2589340</v>
      </c>
      <c r="AE133" s="1454">
        <v>2589340</v>
      </c>
      <c r="AF133" s="1455">
        <v>-361340</v>
      </c>
      <c r="AG133" s="1456">
        <v>0</v>
      </c>
      <c r="AH133" s="1317">
        <v>26</v>
      </c>
      <c r="AI133" s="1454">
        <v>2328797.62</v>
      </c>
    </row>
    <row r="134" spans="1:35" s="734" customFormat="1" ht="12.75">
      <c r="A134" s="1448" t="s">
        <v>761</v>
      </c>
      <c r="B134" s="1316">
        <v>11</v>
      </c>
      <c r="C134" s="1449">
        <v>6850</v>
      </c>
      <c r="D134" s="1450"/>
      <c r="E134" s="1450"/>
      <c r="F134" s="1450"/>
      <c r="G134" s="1450"/>
      <c r="H134" s="1451"/>
      <c r="I134" s="1452"/>
      <c r="J134" s="1451"/>
      <c r="K134" s="1452">
        <v>6850</v>
      </c>
      <c r="L134" s="1451">
        <v>100000</v>
      </c>
      <c r="M134" s="1452">
        <v>100000</v>
      </c>
      <c r="N134" s="1450">
        <v>200000</v>
      </c>
      <c r="O134" s="1453">
        <v>1104200</v>
      </c>
      <c r="P134" s="1454">
        <v>1104200</v>
      </c>
      <c r="Q134" s="1317">
        <v>11</v>
      </c>
      <c r="R134" s="1449">
        <v>6850</v>
      </c>
      <c r="S134" s="1450"/>
      <c r="T134" s="1450"/>
      <c r="U134" s="1450"/>
      <c r="V134" s="1450"/>
      <c r="W134" s="1451"/>
      <c r="X134" s="1452"/>
      <c r="Y134" s="1451"/>
      <c r="Z134" s="1452">
        <v>6850</v>
      </c>
      <c r="AA134" s="1451">
        <v>155100</v>
      </c>
      <c r="AB134" s="1452">
        <v>94941</v>
      </c>
      <c r="AC134" s="1450">
        <v>250041</v>
      </c>
      <c r="AD134" s="1453">
        <v>1154241</v>
      </c>
      <c r="AE134" s="1454">
        <v>1154241</v>
      </c>
      <c r="AF134" s="1455">
        <v>-50041</v>
      </c>
      <c r="AG134" s="1456">
        <v>0</v>
      </c>
      <c r="AH134" s="1317">
        <v>11</v>
      </c>
      <c r="AI134" s="1454">
        <v>1160099.4099999999</v>
      </c>
    </row>
    <row r="135" spans="1:35" s="734" customFormat="1" ht="12.75">
      <c r="A135" s="1448" t="s">
        <v>762</v>
      </c>
      <c r="B135" s="1316">
        <v>8</v>
      </c>
      <c r="C135" s="1449">
        <v>7150</v>
      </c>
      <c r="D135" s="1450"/>
      <c r="E135" s="1450"/>
      <c r="F135" s="1450"/>
      <c r="G135" s="1450"/>
      <c r="H135" s="1451"/>
      <c r="I135" s="1452"/>
      <c r="J135" s="1451"/>
      <c r="K135" s="1452">
        <v>7150</v>
      </c>
      <c r="L135" s="1451">
        <v>100000</v>
      </c>
      <c r="M135" s="1452">
        <v>100000</v>
      </c>
      <c r="N135" s="1450">
        <v>200000</v>
      </c>
      <c r="O135" s="1453">
        <v>886400</v>
      </c>
      <c r="P135" s="1454">
        <v>886400</v>
      </c>
      <c r="Q135" s="1317">
        <v>8</v>
      </c>
      <c r="R135" s="1449">
        <v>7150</v>
      </c>
      <c r="S135" s="1450"/>
      <c r="T135" s="1450"/>
      <c r="U135" s="1450"/>
      <c r="V135" s="1450"/>
      <c r="W135" s="1451"/>
      <c r="X135" s="1452"/>
      <c r="Y135" s="1451"/>
      <c r="Z135" s="1452">
        <v>7150</v>
      </c>
      <c r="AA135" s="1451">
        <v>117600</v>
      </c>
      <c r="AB135" s="1452">
        <v>72072</v>
      </c>
      <c r="AC135" s="1450">
        <v>189672</v>
      </c>
      <c r="AD135" s="1453">
        <v>876072</v>
      </c>
      <c r="AE135" s="1454">
        <v>876072</v>
      </c>
      <c r="AF135" s="1455">
        <v>10328</v>
      </c>
      <c r="AG135" s="1456">
        <v>0</v>
      </c>
      <c r="AH135" s="1317">
        <v>8</v>
      </c>
      <c r="AI135" s="1454">
        <v>955895.93</v>
      </c>
    </row>
    <row r="136" spans="1:35" s="734" customFormat="1" ht="12.75">
      <c r="A136" s="1448" t="s">
        <v>755</v>
      </c>
      <c r="B136" s="1316">
        <v>1</v>
      </c>
      <c r="C136" s="1449">
        <v>8100</v>
      </c>
      <c r="D136" s="1450"/>
      <c r="E136" s="1450"/>
      <c r="F136" s="1450"/>
      <c r="G136" s="1450"/>
      <c r="H136" s="1451"/>
      <c r="I136" s="1452"/>
      <c r="J136" s="1451"/>
      <c r="K136" s="1452">
        <v>8100</v>
      </c>
      <c r="L136" s="1451">
        <v>16600</v>
      </c>
      <c r="M136" s="1452">
        <v>10206</v>
      </c>
      <c r="N136" s="1450">
        <v>26806</v>
      </c>
      <c r="O136" s="1453">
        <v>124006</v>
      </c>
      <c r="P136" s="1454">
        <v>124006</v>
      </c>
      <c r="Q136" s="1317">
        <v>1</v>
      </c>
      <c r="R136" s="1449">
        <v>8100</v>
      </c>
      <c r="S136" s="1450"/>
      <c r="T136" s="1450"/>
      <c r="U136" s="1450"/>
      <c r="V136" s="1450"/>
      <c r="W136" s="1451"/>
      <c r="X136" s="1452"/>
      <c r="Y136" s="1451"/>
      <c r="Z136" s="1452">
        <v>8100</v>
      </c>
      <c r="AA136" s="1451">
        <v>16600</v>
      </c>
      <c r="AB136" s="1452">
        <v>10206</v>
      </c>
      <c r="AC136" s="1450">
        <v>26806</v>
      </c>
      <c r="AD136" s="1453">
        <v>124006</v>
      </c>
      <c r="AE136" s="1454">
        <v>124006</v>
      </c>
      <c r="AF136" s="1455">
        <v>0</v>
      </c>
      <c r="AG136" s="1456">
        <v>0</v>
      </c>
      <c r="AH136" s="1317">
        <v>1</v>
      </c>
      <c r="AI136" s="1471">
        <v>125106.58</v>
      </c>
    </row>
    <row r="137" spans="1:35" s="734" customFormat="1" ht="12.75">
      <c r="A137" s="1448" t="s">
        <v>1323</v>
      </c>
      <c r="B137" s="1472"/>
      <c r="C137" s="1449"/>
      <c r="D137" s="1450"/>
      <c r="E137" s="1450"/>
      <c r="F137" s="1450"/>
      <c r="G137" s="1450"/>
      <c r="H137" s="1451"/>
      <c r="I137" s="1452"/>
      <c r="J137" s="1451"/>
      <c r="K137" s="1452"/>
      <c r="L137" s="1451"/>
      <c r="M137" s="1452"/>
      <c r="N137" s="1450"/>
      <c r="O137" s="1453"/>
      <c r="P137" s="1454"/>
      <c r="Q137" s="1317"/>
      <c r="R137" s="1449"/>
      <c r="S137" s="1450"/>
      <c r="T137" s="1450"/>
      <c r="U137" s="1450"/>
      <c r="V137" s="1450"/>
      <c r="W137" s="1451"/>
      <c r="X137" s="1452"/>
      <c r="Y137" s="1451"/>
      <c r="Z137" s="1452"/>
      <c r="AA137" s="1451"/>
      <c r="AB137" s="1452"/>
      <c r="AC137" s="1450"/>
      <c r="AD137" s="1453"/>
      <c r="AE137" s="1454"/>
      <c r="AF137" s="1455">
        <v>0</v>
      </c>
      <c r="AG137" s="1456">
        <v>0</v>
      </c>
      <c r="AH137" s="1317"/>
      <c r="AI137" s="1454"/>
    </row>
    <row r="138" spans="1:35" s="734" customFormat="1" ht="12.75">
      <c r="A138" s="1457"/>
      <c r="B138" s="1458"/>
      <c r="C138" s="1459"/>
      <c r="D138" s="1460"/>
      <c r="E138" s="1460"/>
      <c r="F138" s="1460"/>
      <c r="G138" s="1460"/>
      <c r="H138" s="1461"/>
      <c r="I138" s="1462"/>
      <c r="J138" s="1461"/>
      <c r="K138" s="1462"/>
      <c r="L138" s="1461"/>
      <c r="M138" s="1462"/>
      <c r="N138" s="1460"/>
      <c r="O138" s="1463"/>
      <c r="P138" s="1464"/>
      <c r="Q138" s="1323"/>
      <c r="R138" s="1459"/>
      <c r="S138" s="1460"/>
      <c r="T138" s="1460"/>
      <c r="U138" s="1460"/>
      <c r="V138" s="1460"/>
      <c r="W138" s="1461"/>
      <c r="X138" s="1462"/>
      <c r="Y138" s="1461"/>
      <c r="Z138" s="1462"/>
      <c r="AA138" s="1461"/>
      <c r="AB138" s="1462"/>
      <c r="AC138" s="1460"/>
      <c r="AD138" s="1463"/>
      <c r="AE138" s="1464"/>
      <c r="AF138" s="1465"/>
      <c r="AG138" s="1466"/>
      <c r="AH138" s="1323"/>
      <c r="AI138" s="1464"/>
    </row>
    <row r="139" spans="1:35" s="734" customFormat="1" ht="12.75">
      <c r="A139" s="1430" t="s">
        <v>5</v>
      </c>
      <c r="B139" s="1431">
        <v>50</v>
      </c>
      <c r="C139" s="1473">
        <v>24990</v>
      </c>
      <c r="D139" s="1473">
        <v>0</v>
      </c>
      <c r="E139" s="1473">
        <v>0</v>
      </c>
      <c r="F139" s="1473">
        <v>0</v>
      </c>
      <c r="G139" s="1473">
        <v>0</v>
      </c>
      <c r="H139" s="1473">
        <v>0</v>
      </c>
      <c r="I139" s="1473">
        <v>0</v>
      </c>
      <c r="J139" s="1473">
        <v>0</v>
      </c>
      <c r="K139" s="1473">
        <v>24990</v>
      </c>
      <c r="L139" s="1473">
        <v>374580</v>
      </c>
      <c r="M139" s="1473">
        <v>223385.40000000002</v>
      </c>
      <c r="N139" s="1473">
        <v>597965.39999999991</v>
      </c>
      <c r="O139" s="1473">
        <v>2725445.4000000004</v>
      </c>
      <c r="P139" s="1473">
        <v>2725445.4000000004</v>
      </c>
      <c r="Q139" s="1437">
        <v>50</v>
      </c>
      <c r="R139" s="1473">
        <v>24990</v>
      </c>
      <c r="S139" s="1473">
        <v>0</v>
      </c>
      <c r="T139" s="1473">
        <v>0</v>
      </c>
      <c r="U139" s="1473">
        <v>0</v>
      </c>
      <c r="V139" s="1473">
        <v>0</v>
      </c>
      <c r="W139" s="1473">
        <v>0</v>
      </c>
      <c r="X139" s="1473">
        <v>0</v>
      </c>
      <c r="Y139" s="1473">
        <v>0</v>
      </c>
      <c r="Z139" s="1473">
        <v>24990</v>
      </c>
      <c r="AA139" s="1473">
        <v>374580</v>
      </c>
      <c r="AB139" s="1473">
        <v>223385.40000000002</v>
      </c>
      <c r="AC139" s="1474">
        <v>597965.39999999991</v>
      </c>
      <c r="AD139" s="1475">
        <v>2725445.4000000004</v>
      </c>
      <c r="AE139" s="1474">
        <v>2725445.4000000004</v>
      </c>
      <c r="AF139" s="1437">
        <v>0</v>
      </c>
      <c r="AG139" s="1437">
        <v>0</v>
      </c>
      <c r="AH139" s="1437">
        <v>52</v>
      </c>
      <c r="AI139" s="1436">
        <f>SUM(AI140:AI148)</f>
        <v>2773343.0000000005</v>
      </c>
    </row>
    <row r="140" spans="1:35" s="734" customFormat="1" ht="12.75">
      <c r="A140" s="1468" t="s">
        <v>763</v>
      </c>
      <c r="B140" s="1308">
        <v>2</v>
      </c>
      <c r="C140" s="1440">
        <v>2150</v>
      </c>
      <c r="D140" s="1441"/>
      <c r="E140" s="1441"/>
      <c r="F140" s="1441"/>
      <c r="G140" s="1441"/>
      <c r="H140" s="1442"/>
      <c r="I140" s="1443"/>
      <c r="J140" s="1442"/>
      <c r="K140" s="1443">
        <v>2150</v>
      </c>
      <c r="L140" s="1442">
        <v>9400</v>
      </c>
      <c r="M140" s="1443">
        <v>5418</v>
      </c>
      <c r="N140" s="1441">
        <v>14818</v>
      </c>
      <c r="O140" s="1444">
        <v>66418</v>
      </c>
      <c r="P140" s="1445">
        <v>66418</v>
      </c>
      <c r="Q140" s="1309">
        <v>2</v>
      </c>
      <c r="R140" s="1440">
        <v>2150</v>
      </c>
      <c r="S140" s="1441"/>
      <c r="T140" s="1441"/>
      <c r="U140" s="1441"/>
      <c r="V140" s="1441"/>
      <c r="W140" s="1442"/>
      <c r="X140" s="1443"/>
      <c r="Y140" s="1442"/>
      <c r="Z140" s="1443">
        <v>2150</v>
      </c>
      <c r="AA140" s="1442">
        <v>9400</v>
      </c>
      <c r="AB140" s="1443">
        <v>5418</v>
      </c>
      <c r="AC140" s="1441">
        <v>14818</v>
      </c>
      <c r="AD140" s="1444">
        <v>66418</v>
      </c>
      <c r="AE140" s="1445">
        <v>66418</v>
      </c>
      <c r="AF140" s="1446">
        <v>0</v>
      </c>
      <c r="AG140" s="1447">
        <v>0</v>
      </c>
      <c r="AH140" s="1309">
        <v>2</v>
      </c>
      <c r="AI140" s="1469">
        <v>99219.82</v>
      </c>
    </row>
    <row r="141" spans="1:35" s="734" customFormat="1" ht="12.75">
      <c r="A141" s="1470" t="s">
        <v>1324</v>
      </c>
      <c r="B141" s="1316"/>
      <c r="C141" s="1449"/>
      <c r="D141" s="1450"/>
      <c r="E141" s="1450"/>
      <c r="F141" s="1450"/>
      <c r="G141" s="1450"/>
      <c r="H141" s="1451"/>
      <c r="I141" s="1452"/>
      <c r="J141" s="1451"/>
      <c r="K141" s="1452"/>
      <c r="L141" s="1451"/>
      <c r="M141" s="1452"/>
      <c r="N141" s="1450"/>
      <c r="O141" s="1453"/>
      <c r="P141" s="1454"/>
      <c r="Q141" s="1317"/>
      <c r="R141" s="1449"/>
      <c r="S141" s="1450"/>
      <c r="T141" s="1450"/>
      <c r="U141" s="1450"/>
      <c r="V141" s="1450"/>
      <c r="W141" s="1451"/>
      <c r="X141" s="1452"/>
      <c r="Y141" s="1451"/>
      <c r="Z141" s="1452"/>
      <c r="AA141" s="1451"/>
      <c r="AB141" s="1452"/>
      <c r="AC141" s="1450"/>
      <c r="AD141" s="1453"/>
      <c r="AE141" s="1454"/>
      <c r="AF141" s="1455">
        <v>0</v>
      </c>
      <c r="AG141" s="1456">
        <v>0</v>
      </c>
      <c r="AH141" s="1317"/>
      <c r="AI141" s="1454"/>
    </row>
    <row r="142" spans="1:35" s="734" customFormat="1" ht="12.75">
      <c r="A142" s="1470" t="s">
        <v>766</v>
      </c>
      <c r="B142" s="1316">
        <v>7</v>
      </c>
      <c r="C142" s="1449">
        <v>3250</v>
      </c>
      <c r="D142" s="1450"/>
      <c r="E142" s="1450"/>
      <c r="F142" s="1450"/>
      <c r="G142" s="1450"/>
      <c r="H142" s="1451"/>
      <c r="I142" s="1452"/>
      <c r="J142" s="1451"/>
      <c r="K142" s="1452">
        <v>3250</v>
      </c>
      <c r="L142" s="1451">
        <v>48300</v>
      </c>
      <c r="M142" s="1452">
        <v>28665</v>
      </c>
      <c r="N142" s="1450">
        <v>76965</v>
      </c>
      <c r="O142" s="1453">
        <v>349965</v>
      </c>
      <c r="P142" s="1454">
        <v>349965</v>
      </c>
      <c r="Q142" s="1317">
        <v>7</v>
      </c>
      <c r="R142" s="1449">
        <v>3250</v>
      </c>
      <c r="S142" s="1450"/>
      <c r="T142" s="1450"/>
      <c r="U142" s="1450"/>
      <c r="V142" s="1450"/>
      <c r="W142" s="1451"/>
      <c r="X142" s="1452"/>
      <c r="Y142" s="1451"/>
      <c r="Z142" s="1452">
        <v>3250</v>
      </c>
      <c r="AA142" s="1451">
        <v>48300</v>
      </c>
      <c r="AB142" s="1452">
        <v>28665</v>
      </c>
      <c r="AC142" s="1450">
        <v>76965</v>
      </c>
      <c r="AD142" s="1453">
        <v>349965</v>
      </c>
      <c r="AE142" s="1454">
        <v>349965</v>
      </c>
      <c r="AF142" s="1455">
        <v>0</v>
      </c>
      <c r="AG142" s="1456">
        <v>0</v>
      </c>
      <c r="AH142" s="1317">
        <v>7</v>
      </c>
      <c r="AI142" s="1471">
        <v>387555.44</v>
      </c>
    </row>
    <row r="143" spans="1:35" s="734" customFormat="1" ht="12.75">
      <c r="A143" s="1470" t="s">
        <v>767</v>
      </c>
      <c r="B143" s="1316">
        <v>16</v>
      </c>
      <c r="C143" s="1449">
        <v>3400</v>
      </c>
      <c r="D143" s="1450"/>
      <c r="E143" s="1450"/>
      <c r="F143" s="1450"/>
      <c r="G143" s="1450"/>
      <c r="H143" s="1451"/>
      <c r="I143" s="1452"/>
      <c r="J143" s="1451"/>
      <c r="K143" s="1452">
        <v>3400</v>
      </c>
      <c r="L143" s="1451">
        <v>115200</v>
      </c>
      <c r="M143" s="1452">
        <v>68544</v>
      </c>
      <c r="N143" s="1450">
        <v>183744</v>
      </c>
      <c r="O143" s="1453">
        <v>836544</v>
      </c>
      <c r="P143" s="1454">
        <v>836544</v>
      </c>
      <c r="Q143" s="1317">
        <v>16</v>
      </c>
      <c r="R143" s="1449">
        <v>3400</v>
      </c>
      <c r="S143" s="1450"/>
      <c r="T143" s="1450"/>
      <c r="U143" s="1450"/>
      <c r="V143" s="1450"/>
      <c r="W143" s="1451"/>
      <c r="X143" s="1452"/>
      <c r="Y143" s="1451"/>
      <c r="Z143" s="1452">
        <v>3400</v>
      </c>
      <c r="AA143" s="1451">
        <v>115200</v>
      </c>
      <c r="AB143" s="1452">
        <v>68544</v>
      </c>
      <c r="AC143" s="1450">
        <v>183744</v>
      </c>
      <c r="AD143" s="1453">
        <v>836544</v>
      </c>
      <c r="AE143" s="1454">
        <v>836544</v>
      </c>
      <c r="AF143" s="1455">
        <v>0</v>
      </c>
      <c r="AG143" s="1456">
        <v>0</v>
      </c>
      <c r="AH143" s="1317">
        <v>16</v>
      </c>
      <c r="AI143" s="1471">
        <v>825292.87</v>
      </c>
    </row>
    <row r="144" spans="1:35" s="734" customFormat="1" ht="12.75">
      <c r="A144" s="1448" t="s">
        <v>768</v>
      </c>
      <c r="B144" s="1316">
        <v>19</v>
      </c>
      <c r="C144" s="1449">
        <v>3750</v>
      </c>
      <c r="D144" s="1450"/>
      <c r="E144" s="1450"/>
      <c r="F144" s="1450"/>
      <c r="G144" s="1450"/>
      <c r="H144" s="1451"/>
      <c r="I144" s="1452"/>
      <c r="J144" s="1451"/>
      <c r="K144" s="1452">
        <v>3750</v>
      </c>
      <c r="L144" s="1451">
        <v>150100</v>
      </c>
      <c r="M144" s="1452">
        <v>89775</v>
      </c>
      <c r="N144" s="1450">
        <v>239875</v>
      </c>
      <c r="O144" s="1453">
        <v>1094875</v>
      </c>
      <c r="P144" s="1454">
        <v>1094875</v>
      </c>
      <c r="Q144" s="1317">
        <v>19</v>
      </c>
      <c r="R144" s="1449">
        <v>3750</v>
      </c>
      <c r="S144" s="1450"/>
      <c r="T144" s="1450"/>
      <c r="U144" s="1450"/>
      <c r="V144" s="1450"/>
      <c r="W144" s="1451"/>
      <c r="X144" s="1452"/>
      <c r="Y144" s="1451"/>
      <c r="Z144" s="1452">
        <v>3750</v>
      </c>
      <c r="AA144" s="1451">
        <v>150100</v>
      </c>
      <c r="AB144" s="1452">
        <v>89775</v>
      </c>
      <c r="AC144" s="1450">
        <v>239875</v>
      </c>
      <c r="AD144" s="1453">
        <v>1094875</v>
      </c>
      <c r="AE144" s="1454">
        <v>1094875</v>
      </c>
      <c r="AF144" s="1455">
        <v>0</v>
      </c>
      <c r="AG144" s="1456">
        <v>0</v>
      </c>
      <c r="AH144" s="1317">
        <v>20</v>
      </c>
      <c r="AI144" s="1471">
        <v>1008121.18</v>
      </c>
    </row>
    <row r="145" spans="1:35" s="734" customFormat="1" ht="12.75">
      <c r="A145" s="1448" t="s">
        <v>769</v>
      </c>
      <c r="B145" s="1316">
        <v>1</v>
      </c>
      <c r="C145" s="1449">
        <v>3970</v>
      </c>
      <c r="D145" s="1450"/>
      <c r="E145" s="1450"/>
      <c r="F145" s="1450"/>
      <c r="G145" s="1450"/>
      <c r="H145" s="1451"/>
      <c r="I145" s="1452"/>
      <c r="J145" s="1451"/>
      <c r="K145" s="1452">
        <v>3970</v>
      </c>
      <c r="L145" s="1451">
        <v>8340</v>
      </c>
      <c r="M145" s="1452">
        <v>5002.2</v>
      </c>
      <c r="N145" s="1450">
        <v>13342.2</v>
      </c>
      <c r="O145" s="1453">
        <v>60982.2</v>
      </c>
      <c r="P145" s="1454">
        <v>60982.2</v>
      </c>
      <c r="Q145" s="1317">
        <v>1</v>
      </c>
      <c r="R145" s="1449">
        <v>3970</v>
      </c>
      <c r="S145" s="1450"/>
      <c r="T145" s="1450"/>
      <c r="U145" s="1450"/>
      <c r="V145" s="1450"/>
      <c r="W145" s="1451"/>
      <c r="X145" s="1452"/>
      <c r="Y145" s="1451"/>
      <c r="Z145" s="1452">
        <v>3970</v>
      </c>
      <c r="AA145" s="1451">
        <v>8340</v>
      </c>
      <c r="AB145" s="1452">
        <v>5002.2</v>
      </c>
      <c r="AC145" s="1450">
        <v>13342.2</v>
      </c>
      <c r="AD145" s="1453">
        <v>60982.2</v>
      </c>
      <c r="AE145" s="1454">
        <v>60982.2</v>
      </c>
      <c r="AF145" s="1455">
        <v>0</v>
      </c>
      <c r="AG145" s="1456">
        <v>0</v>
      </c>
      <c r="AH145" s="1317">
        <v>1</v>
      </c>
      <c r="AI145" s="1471">
        <v>67202.490000000005</v>
      </c>
    </row>
    <row r="146" spans="1:35" s="734" customFormat="1" ht="12.75">
      <c r="A146" s="1448" t="s">
        <v>770</v>
      </c>
      <c r="B146" s="1316">
        <v>4</v>
      </c>
      <c r="C146" s="1449">
        <v>4050</v>
      </c>
      <c r="D146" s="1450"/>
      <c r="E146" s="1450"/>
      <c r="F146" s="1450"/>
      <c r="G146" s="1450"/>
      <c r="H146" s="1451"/>
      <c r="I146" s="1452"/>
      <c r="J146" s="1451"/>
      <c r="K146" s="1452">
        <v>4050</v>
      </c>
      <c r="L146" s="1451">
        <v>34000</v>
      </c>
      <c r="M146" s="1452">
        <v>20412</v>
      </c>
      <c r="N146" s="1450">
        <v>54412</v>
      </c>
      <c r="O146" s="1453">
        <v>248812</v>
      </c>
      <c r="P146" s="1454">
        <v>248812</v>
      </c>
      <c r="Q146" s="1317">
        <v>4</v>
      </c>
      <c r="R146" s="1449">
        <v>4050</v>
      </c>
      <c r="S146" s="1450"/>
      <c r="T146" s="1450"/>
      <c r="U146" s="1450"/>
      <c r="V146" s="1450"/>
      <c r="W146" s="1451"/>
      <c r="X146" s="1452"/>
      <c r="Y146" s="1451"/>
      <c r="Z146" s="1452">
        <v>4050</v>
      </c>
      <c r="AA146" s="1451">
        <v>34000</v>
      </c>
      <c r="AB146" s="1452">
        <v>20412</v>
      </c>
      <c r="AC146" s="1450">
        <v>54412</v>
      </c>
      <c r="AD146" s="1453">
        <v>248812</v>
      </c>
      <c r="AE146" s="1454">
        <v>248812</v>
      </c>
      <c r="AF146" s="1455">
        <v>0</v>
      </c>
      <c r="AG146" s="1456">
        <v>0</v>
      </c>
      <c r="AH146" s="1317">
        <v>4</v>
      </c>
      <c r="AI146" s="1471">
        <v>274071.3</v>
      </c>
    </row>
    <row r="147" spans="1:35" s="734" customFormat="1" ht="12.75">
      <c r="A147" s="1448" t="s">
        <v>764</v>
      </c>
      <c r="B147" s="1316">
        <v>1</v>
      </c>
      <c r="C147" s="1449">
        <v>4420</v>
      </c>
      <c r="D147" s="1450"/>
      <c r="E147" s="1450"/>
      <c r="F147" s="1450"/>
      <c r="G147" s="1450"/>
      <c r="H147" s="1451"/>
      <c r="I147" s="1452"/>
      <c r="J147" s="1451"/>
      <c r="K147" s="1452">
        <v>4420</v>
      </c>
      <c r="L147" s="1451">
        <v>9240</v>
      </c>
      <c r="M147" s="1452">
        <v>5569.2</v>
      </c>
      <c r="N147" s="1450">
        <v>14809.2</v>
      </c>
      <c r="O147" s="1453">
        <v>67849.2</v>
      </c>
      <c r="P147" s="1454">
        <v>67849.2</v>
      </c>
      <c r="Q147" s="1317">
        <v>1</v>
      </c>
      <c r="R147" s="1449">
        <v>4420</v>
      </c>
      <c r="S147" s="1450"/>
      <c r="T147" s="1450"/>
      <c r="U147" s="1450"/>
      <c r="V147" s="1450"/>
      <c r="W147" s="1451"/>
      <c r="X147" s="1452"/>
      <c r="Y147" s="1451"/>
      <c r="Z147" s="1452">
        <v>4420</v>
      </c>
      <c r="AA147" s="1451">
        <v>9240</v>
      </c>
      <c r="AB147" s="1452">
        <v>5569.2</v>
      </c>
      <c r="AC147" s="1450">
        <v>14809.2</v>
      </c>
      <c r="AD147" s="1453">
        <v>67849.2</v>
      </c>
      <c r="AE147" s="1454">
        <v>67849.2</v>
      </c>
      <c r="AF147" s="1455">
        <v>0</v>
      </c>
      <c r="AG147" s="1456">
        <v>0</v>
      </c>
      <c r="AH147" s="1317">
        <v>1</v>
      </c>
      <c r="AI147" s="1471">
        <v>74601.240000000005</v>
      </c>
    </row>
    <row r="148" spans="1:35" s="734" customFormat="1" ht="12.75">
      <c r="A148" s="1448" t="s">
        <v>765</v>
      </c>
      <c r="B148" s="1472"/>
      <c r="C148" s="1449"/>
      <c r="D148" s="1450"/>
      <c r="E148" s="1450"/>
      <c r="F148" s="1450"/>
      <c r="G148" s="1450"/>
      <c r="H148" s="1451"/>
      <c r="I148" s="1452"/>
      <c r="J148" s="1451"/>
      <c r="K148" s="1452"/>
      <c r="L148" s="1451"/>
      <c r="M148" s="1452"/>
      <c r="N148" s="1450"/>
      <c r="O148" s="1453"/>
      <c r="P148" s="1454"/>
      <c r="Q148" s="1317"/>
      <c r="R148" s="1449"/>
      <c r="S148" s="1450"/>
      <c r="T148" s="1450"/>
      <c r="U148" s="1450"/>
      <c r="V148" s="1450"/>
      <c r="W148" s="1451"/>
      <c r="X148" s="1452"/>
      <c r="Y148" s="1451"/>
      <c r="Z148" s="1452"/>
      <c r="AA148" s="1451"/>
      <c r="AB148" s="1452"/>
      <c r="AC148" s="1450"/>
      <c r="AD148" s="1453"/>
      <c r="AE148" s="1454"/>
      <c r="AF148" s="1455">
        <v>0</v>
      </c>
      <c r="AG148" s="1456">
        <v>0</v>
      </c>
      <c r="AH148" s="1317">
        <v>1</v>
      </c>
      <c r="AI148" s="1471">
        <v>37278.660000000003</v>
      </c>
    </row>
    <row r="149" spans="1:35" s="734" customFormat="1" ht="12.75">
      <c r="A149" s="1457"/>
      <c r="B149" s="1458"/>
      <c r="C149" s="1459"/>
      <c r="D149" s="1460"/>
      <c r="E149" s="1460"/>
      <c r="F149" s="1460"/>
      <c r="G149" s="1460"/>
      <c r="H149" s="1461"/>
      <c r="I149" s="1462"/>
      <c r="J149" s="1461"/>
      <c r="K149" s="1462"/>
      <c r="L149" s="1461"/>
      <c r="M149" s="1462"/>
      <c r="N149" s="1460"/>
      <c r="O149" s="1463"/>
      <c r="P149" s="1464"/>
      <c r="Q149" s="1323"/>
      <c r="R149" s="1459"/>
      <c r="S149" s="1460"/>
      <c r="T149" s="1460"/>
      <c r="U149" s="1460"/>
      <c r="V149" s="1460"/>
      <c r="W149" s="1461"/>
      <c r="X149" s="1462"/>
      <c r="Y149" s="1461"/>
      <c r="Z149" s="1462"/>
      <c r="AA149" s="1461"/>
      <c r="AB149" s="1462"/>
      <c r="AC149" s="1460"/>
      <c r="AD149" s="1463"/>
      <c r="AE149" s="1464"/>
      <c r="AF149" s="1465"/>
      <c r="AG149" s="1465"/>
      <c r="AH149" s="1323"/>
      <c r="AI149" s="1476"/>
    </row>
    <row r="150" spans="1:35" s="734" customFormat="1" ht="12.75">
      <c r="A150" s="1430" t="s">
        <v>6</v>
      </c>
      <c r="B150" s="1431">
        <v>27</v>
      </c>
      <c r="C150" s="1432">
        <v>7250</v>
      </c>
      <c r="D150" s="1433"/>
      <c r="E150" s="1433"/>
      <c r="F150" s="1433"/>
      <c r="G150" s="1433"/>
      <c r="H150" s="1434"/>
      <c r="I150" s="1432"/>
      <c r="J150" s="1434"/>
      <c r="K150" s="1432">
        <v>7250</v>
      </c>
      <c r="L150" s="1434">
        <v>139700</v>
      </c>
      <c r="M150" s="1434">
        <v>81207</v>
      </c>
      <c r="N150" s="1433">
        <v>220907</v>
      </c>
      <c r="O150" s="1435">
        <v>994307</v>
      </c>
      <c r="P150" s="1436">
        <v>994307</v>
      </c>
      <c r="Q150" s="1437">
        <v>27</v>
      </c>
      <c r="R150" s="1432">
        <v>7250</v>
      </c>
      <c r="S150" s="1433"/>
      <c r="T150" s="1433"/>
      <c r="U150" s="1433"/>
      <c r="V150" s="1433"/>
      <c r="W150" s="1434"/>
      <c r="X150" s="1432"/>
      <c r="Y150" s="1434"/>
      <c r="Z150" s="1432">
        <v>7250</v>
      </c>
      <c r="AA150" s="1434">
        <v>139700</v>
      </c>
      <c r="AB150" s="1434">
        <v>81207</v>
      </c>
      <c r="AC150" s="1433">
        <v>220907</v>
      </c>
      <c r="AD150" s="1435">
        <v>429754</v>
      </c>
      <c r="AE150" s="1436">
        <v>994307</v>
      </c>
      <c r="AF150" s="1438">
        <v>0</v>
      </c>
      <c r="AG150" s="1438">
        <v>0</v>
      </c>
      <c r="AH150" s="1437">
        <v>29</v>
      </c>
      <c r="AI150" s="1436">
        <f>SUM(AI151:AI154)</f>
        <v>982650.86999999988</v>
      </c>
    </row>
    <row r="151" spans="1:35" s="734" customFormat="1" ht="12.75">
      <c r="A151" s="1439" t="s">
        <v>771</v>
      </c>
      <c r="B151" s="1308">
        <v>17</v>
      </c>
      <c r="C151" s="1440">
        <v>2150</v>
      </c>
      <c r="D151" s="1441"/>
      <c r="E151" s="1441"/>
      <c r="F151" s="1441"/>
      <c r="G151" s="1441"/>
      <c r="H151" s="1442"/>
      <c r="I151" s="1443"/>
      <c r="J151" s="1442"/>
      <c r="K151" s="1443">
        <v>2150</v>
      </c>
      <c r="L151" s="1442">
        <v>79900</v>
      </c>
      <c r="M151" s="1443">
        <v>46053</v>
      </c>
      <c r="N151" s="1441">
        <v>125953</v>
      </c>
      <c r="O151" s="1444">
        <v>564553</v>
      </c>
      <c r="P151" s="1445">
        <v>564553</v>
      </c>
      <c r="Q151" s="1309">
        <v>17</v>
      </c>
      <c r="R151" s="1440">
        <v>2150</v>
      </c>
      <c r="S151" s="1441"/>
      <c r="T151" s="1441"/>
      <c r="U151" s="1441"/>
      <c r="V151" s="1441"/>
      <c r="W151" s="1442"/>
      <c r="X151" s="1443"/>
      <c r="Y151" s="1442"/>
      <c r="Z151" s="1443">
        <v>2150</v>
      </c>
      <c r="AA151" s="1442">
        <v>79900</v>
      </c>
      <c r="AB151" s="1443">
        <v>46053</v>
      </c>
      <c r="AC151" s="1441">
        <v>125953</v>
      </c>
      <c r="AD151" s="1444">
        <v>564553</v>
      </c>
      <c r="AE151" s="1445">
        <v>564553</v>
      </c>
      <c r="AF151" s="1446">
        <v>0</v>
      </c>
      <c r="AG151" s="1447">
        <v>0</v>
      </c>
      <c r="AH151" s="1309">
        <v>19</v>
      </c>
      <c r="AI151" s="1469">
        <v>504637.61</v>
      </c>
    </row>
    <row r="152" spans="1:35" s="734" customFormat="1" ht="12.75">
      <c r="A152" s="1448" t="s">
        <v>772</v>
      </c>
      <c r="B152" s="1316">
        <v>1</v>
      </c>
      <c r="C152" s="1449">
        <v>2250</v>
      </c>
      <c r="D152" s="1450"/>
      <c r="E152" s="1450"/>
      <c r="F152" s="1450"/>
      <c r="G152" s="1450"/>
      <c r="H152" s="1451"/>
      <c r="I152" s="1452"/>
      <c r="J152" s="1451"/>
      <c r="K152" s="1452">
        <v>2250</v>
      </c>
      <c r="L152" s="1451">
        <v>4900</v>
      </c>
      <c r="M152" s="1452">
        <v>2835</v>
      </c>
      <c r="N152" s="1450">
        <v>7735</v>
      </c>
      <c r="O152" s="1453">
        <v>34735</v>
      </c>
      <c r="P152" s="1454">
        <v>34735</v>
      </c>
      <c r="Q152" s="1317">
        <v>1</v>
      </c>
      <c r="R152" s="1449">
        <v>2250</v>
      </c>
      <c r="S152" s="1450"/>
      <c r="T152" s="1450"/>
      <c r="U152" s="1450"/>
      <c r="V152" s="1450"/>
      <c r="W152" s="1451"/>
      <c r="X152" s="1452"/>
      <c r="Y152" s="1451"/>
      <c r="Z152" s="1452">
        <v>2250</v>
      </c>
      <c r="AA152" s="1451">
        <v>4900</v>
      </c>
      <c r="AB152" s="1452">
        <v>2835</v>
      </c>
      <c r="AC152" s="1450">
        <v>7735</v>
      </c>
      <c r="AD152" s="1453">
        <v>34735</v>
      </c>
      <c r="AE152" s="1454">
        <v>34735</v>
      </c>
      <c r="AF152" s="1455">
        <v>0</v>
      </c>
      <c r="AG152" s="1456">
        <v>0</v>
      </c>
      <c r="AH152" s="1317">
        <v>1</v>
      </c>
      <c r="AI152" s="1471">
        <v>38922.83</v>
      </c>
    </row>
    <row r="153" spans="1:35" s="734" customFormat="1" ht="12.75">
      <c r="A153" s="1477" t="s">
        <v>773</v>
      </c>
      <c r="B153" s="1316">
        <v>9</v>
      </c>
      <c r="C153" s="1449">
        <v>2850</v>
      </c>
      <c r="D153" s="1450"/>
      <c r="E153" s="1450"/>
      <c r="F153" s="1450"/>
      <c r="G153" s="1450"/>
      <c r="H153" s="1451"/>
      <c r="I153" s="1452"/>
      <c r="J153" s="1451"/>
      <c r="K153" s="1452">
        <v>2850</v>
      </c>
      <c r="L153" s="1451">
        <v>54900</v>
      </c>
      <c r="M153" s="1452">
        <v>32319</v>
      </c>
      <c r="N153" s="1450">
        <v>87219</v>
      </c>
      <c r="O153" s="1453">
        <v>395019</v>
      </c>
      <c r="P153" s="1454">
        <v>395019</v>
      </c>
      <c r="Q153" s="1317">
        <v>9</v>
      </c>
      <c r="R153" s="1449">
        <v>2850</v>
      </c>
      <c r="S153" s="1450"/>
      <c r="T153" s="1450"/>
      <c r="U153" s="1450"/>
      <c r="V153" s="1450"/>
      <c r="W153" s="1451"/>
      <c r="X153" s="1452"/>
      <c r="Y153" s="1451"/>
      <c r="Z153" s="1452">
        <v>2850</v>
      </c>
      <c r="AA153" s="1451">
        <v>54900</v>
      </c>
      <c r="AB153" s="1452">
        <v>32319</v>
      </c>
      <c r="AC153" s="1450">
        <v>87219</v>
      </c>
      <c r="AD153" s="1453">
        <v>395019</v>
      </c>
      <c r="AE153" s="1454">
        <v>395019</v>
      </c>
      <c r="AF153" s="1455">
        <v>0</v>
      </c>
      <c r="AG153" s="1456">
        <v>0</v>
      </c>
      <c r="AH153" s="1317">
        <v>9</v>
      </c>
      <c r="AI153" s="1471">
        <v>439090.43</v>
      </c>
    </row>
    <row r="154" spans="1:35" s="734" customFormat="1" ht="12.75">
      <c r="A154" s="1478"/>
      <c r="B154" s="1301"/>
      <c r="C154" s="1459"/>
      <c r="D154" s="1460"/>
      <c r="E154" s="1460"/>
      <c r="F154" s="1460"/>
      <c r="G154" s="1460"/>
      <c r="H154" s="1461"/>
      <c r="I154" s="1462"/>
      <c r="J154" s="1460"/>
      <c r="K154" s="1460"/>
      <c r="L154" s="1461"/>
      <c r="M154" s="1462"/>
      <c r="N154" s="1460"/>
      <c r="O154" s="1463"/>
      <c r="P154" s="1464"/>
      <c r="Q154" s="1323"/>
      <c r="R154" s="1459"/>
      <c r="S154" s="1460"/>
      <c r="T154" s="1460"/>
      <c r="U154" s="1460"/>
      <c r="V154" s="1460"/>
      <c r="W154" s="1461"/>
      <c r="X154" s="1462"/>
      <c r="Y154" s="1461"/>
      <c r="Z154" s="1462"/>
      <c r="AA154" s="1461"/>
      <c r="AB154" s="1462"/>
      <c r="AC154" s="1460"/>
      <c r="AD154" s="1463"/>
      <c r="AE154" s="1464"/>
      <c r="AF154" s="1465"/>
      <c r="AG154" s="1466"/>
      <c r="AH154" s="1323"/>
      <c r="AI154" s="1464"/>
    </row>
    <row r="155" spans="1:35" s="734" customFormat="1" ht="12.75">
      <c r="A155" s="1430" t="s">
        <v>1325</v>
      </c>
      <c r="B155" s="1431"/>
      <c r="C155" s="1432"/>
      <c r="D155" s="1433"/>
      <c r="E155" s="1433"/>
      <c r="F155" s="1433"/>
      <c r="G155" s="1433"/>
      <c r="H155" s="1434"/>
      <c r="I155" s="1432"/>
      <c r="J155" s="1434">
        <v>438446</v>
      </c>
      <c r="K155" s="1432"/>
      <c r="L155" s="1434"/>
      <c r="M155" s="1434"/>
      <c r="N155" s="1433"/>
      <c r="O155" s="1435"/>
      <c r="P155" s="1436">
        <v>438446</v>
      </c>
      <c r="Q155" s="1437"/>
      <c r="R155" s="1432"/>
      <c r="S155" s="1433"/>
      <c r="T155" s="1433"/>
      <c r="U155" s="1433"/>
      <c r="V155" s="1433"/>
      <c r="W155" s="1434"/>
      <c r="X155" s="1432"/>
      <c r="Y155" s="1434">
        <v>480013</v>
      </c>
      <c r="Z155" s="1432"/>
      <c r="AA155" s="1434"/>
      <c r="AB155" s="1434"/>
      <c r="AC155" s="1433"/>
      <c r="AD155" s="1435"/>
      <c r="AE155" s="1436">
        <v>480013</v>
      </c>
      <c r="AF155" s="1438">
        <v>-41567</v>
      </c>
      <c r="AG155" s="1438">
        <v>0</v>
      </c>
      <c r="AH155" s="1437"/>
      <c r="AI155" s="1436">
        <v>480013</v>
      </c>
    </row>
    <row r="156" spans="1:35" s="734" customFormat="1" ht="12.75">
      <c r="A156" s="1479" t="s">
        <v>21</v>
      </c>
      <c r="B156" s="1480"/>
      <c r="C156" s="1481"/>
      <c r="D156" s="1482"/>
      <c r="E156" s="1482"/>
      <c r="F156" s="1482"/>
      <c r="G156" s="1482"/>
      <c r="H156" s="1483"/>
      <c r="I156" s="1481"/>
      <c r="J156" s="1482">
        <v>438446</v>
      </c>
      <c r="K156" s="1482"/>
      <c r="L156" s="1483"/>
      <c r="M156" s="1481"/>
      <c r="N156" s="1482"/>
      <c r="O156" s="1484"/>
      <c r="P156" s="1485">
        <v>438446</v>
      </c>
      <c r="Q156" s="1486"/>
      <c r="R156" s="1481"/>
      <c r="S156" s="1482"/>
      <c r="T156" s="1482"/>
      <c r="U156" s="1482"/>
      <c r="V156" s="1482"/>
      <c r="W156" s="1483"/>
      <c r="X156" s="1481"/>
      <c r="Y156" s="1483">
        <v>480013</v>
      </c>
      <c r="Z156" s="1481"/>
      <c r="AA156" s="1483"/>
      <c r="AB156" s="1481"/>
      <c r="AC156" s="1482"/>
      <c r="AD156" s="1484"/>
      <c r="AE156" s="1485">
        <v>480013</v>
      </c>
      <c r="AF156" s="1487">
        <v>-41567</v>
      </c>
      <c r="AG156" s="1488">
        <v>0</v>
      </c>
      <c r="AH156" s="1486"/>
      <c r="AI156" s="1485">
        <v>480013</v>
      </c>
    </row>
    <row r="157" spans="1:35" s="734" customFormat="1" ht="12.75">
      <c r="A157" s="1489"/>
      <c r="B157" s="1490"/>
      <c r="C157" s="1491"/>
      <c r="D157" s="1492"/>
      <c r="E157" s="1492"/>
      <c r="F157" s="1492"/>
      <c r="G157" s="1492"/>
      <c r="H157" s="1493"/>
      <c r="I157" s="1491"/>
      <c r="J157" s="1492"/>
      <c r="K157" s="1492"/>
      <c r="L157" s="1493"/>
      <c r="M157" s="1491"/>
      <c r="N157" s="1492"/>
      <c r="O157" s="1494"/>
      <c r="P157" s="1495"/>
      <c r="Q157" s="1496"/>
      <c r="R157" s="1491"/>
      <c r="S157" s="1492"/>
      <c r="T157" s="1492"/>
      <c r="U157" s="1492"/>
      <c r="V157" s="1492"/>
      <c r="W157" s="1493"/>
      <c r="X157" s="1491"/>
      <c r="Y157" s="1493"/>
      <c r="Z157" s="1491"/>
      <c r="AA157" s="1493"/>
      <c r="AB157" s="1491"/>
      <c r="AC157" s="1492"/>
      <c r="AD157" s="1494"/>
      <c r="AE157" s="1495"/>
      <c r="AF157" s="1497">
        <v>0</v>
      </c>
      <c r="AG157" s="1498">
        <v>0</v>
      </c>
      <c r="AH157" s="1496"/>
      <c r="AI157" s="1495"/>
    </row>
    <row r="158" spans="1:35" s="734" customFormat="1" ht="12.75">
      <c r="A158" s="1467" t="s">
        <v>1326</v>
      </c>
      <c r="B158" s="1431"/>
      <c r="C158" s="1432"/>
      <c r="D158" s="1433"/>
      <c r="E158" s="1433"/>
      <c r="F158" s="1433"/>
      <c r="G158" s="1433"/>
      <c r="H158" s="1434"/>
      <c r="I158" s="1432"/>
      <c r="J158" s="1434">
        <v>2075545</v>
      </c>
      <c r="K158" s="1432"/>
      <c r="L158" s="1434"/>
      <c r="M158" s="1434"/>
      <c r="N158" s="1433"/>
      <c r="O158" s="1435"/>
      <c r="P158" s="1436">
        <v>2075545</v>
      </c>
      <c r="Q158" s="1437"/>
      <c r="R158" s="1432"/>
      <c r="S158" s="1433"/>
      <c r="T158" s="1433"/>
      <c r="U158" s="1433"/>
      <c r="V158" s="1433"/>
      <c r="W158" s="1434"/>
      <c r="X158" s="1432"/>
      <c r="Y158" s="1434">
        <v>2234731</v>
      </c>
      <c r="Z158" s="1432"/>
      <c r="AA158" s="1434"/>
      <c r="AB158" s="1434"/>
      <c r="AC158" s="1433"/>
      <c r="AD158" s="1435"/>
      <c r="AE158" s="1436">
        <v>2234731</v>
      </c>
      <c r="AF158" s="1438">
        <v>-159186</v>
      </c>
      <c r="AG158" s="1438">
        <v>0</v>
      </c>
      <c r="AH158" s="1437"/>
      <c r="AI158" s="1436">
        <v>2234731</v>
      </c>
    </row>
    <row r="159" spans="1:35" s="734" customFormat="1" ht="12.75">
      <c r="A159" s="1479" t="s">
        <v>1327</v>
      </c>
      <c r="B159" s="1480"/>
      <c r="C159" s="1481"/>
      <c r="D159" s="1482"/>
      <c r="E159" s="1482"/>
      <c r="F159" s="1482"/>
      <c r="G159" s="1482"/>
      <c r="H159" s="1483"/>
      <c r="I159" s="1481"/>
      <c r="J159" s="1482">
        <v>2075545</v>
      </c>
      <c r="K159" s="1482"/>
      <c r="L159" s="1483"/>
      <c r="M159" s="1481"/>
      <c r="N159" s="1482"/>
      <c r="O159" s="1484"/>
      <c r="P159" s="1485">
        <v>2075545</v>
      </c>
      <c r="Q159" s="1486"/>
      <c r="R159" s="1481"/>
      <c r="S159" s="1482"/>
      <c r="T159" s="1482"/>
      <c r="U159" s="1482"/>
      <c r="V159" s="1482"/>
      <c r="W159" s="1483"/>
      <c r="X159" s="1481"/>
      <c r="Y159" s="1483">
        <v>2234731</v>
      </c>
      <c r="Z159" s="1481"/>
      <c r="AA159" s="1483"/>
      <c r="AB159" s="1481"/>
      <c r="AC159" s="1482"/>
      <c r="AD159" s="1484"/>
      <c r="AE159" s="1485">
        <v>2234731</v>
      </c>
      <c r="AF159" s="1487">
        <v>-159186</v>
      </c>
      <c r="AG159" s="1488">
        <v>0</v>
      </c>
      <c r="AH159" s="1486"/>
      <c r="AI159" s="1485">
        <v>2234731</v>
      </c>
    </row>
    <row r="160" spans="1:35" s="734" customFormat="1" ht="13.5" thickBot="1">
      <c r="A160" s="1334"/>
      <c r="B160" s="1273"/>
      <c r="C160" s="1324"/>
      <c r="D160" s="1324"/>
      <c r="E160" s="1324"/>
      <c r="F160" s="1324"/>
      <c r="G160" s="1324"/>
      <c r="H160" s="1324"/>
      <c r="I160" s="1324"/>
      <c r="J160" s="1328"/>
      <c r="K160" s="1374"/>
      <c r="L160" s="1324"/>
      <c r="M160" s="1324"/>
      <c r="N160" s="1328"/>
      <c r="O160" s="1325"/>
      <c r="P160" s="1326"/>
      <c r="Q160" s="1327"/>
      <c r="R160" s="1324"/>
      <c r="S160" s="1324"/>
      <c r="T160" s="1324"/>
      <c r="U160" s="1324"/>
      <c r="V160" s="1324"/>
      <c r="W160" s="1324"/>
      <c r="X160" s="1324"/>
      <c r="Y160" s="1324"/>
      <c r="Z160" s="1324"/>
      <c r="AA160" s="1324"/>
      <c r="AB160" s="1324"/>
      <c r="AC160" s="1328"/>
      <c r="AD160" s="1325"/>
      <c r="AE160" s="1326"/>
      <c r="AF160" s="1326"/>
      <c r="AG160" s="1327"/>
      <c r="AH160" s="1499"/>
      <c r="AI160" s="1327"/>
    </row>
    <row r="161" spans="1:35" s="1276" customFormat="1" ht="22.5" customHeight="1" thickBot="1">
      <c r="A161" s="1500" t="s">
        <v>0</v>
      </c>
      <c r="B161" s="1501">
        <f t="shared" ref="B161:AI161" si="18">+B120+B127+B139+B150+B155+B158</f>
        <v>234</v>
      </c>
      <c r="C161" s="1501">
        <f t="shared" si="18"/>
        <v>150140</v>
      </c>
      <c r="D161" s="1501">
        <f t="shared" si="18"/>
        <v>0</v>
      </c>
      <c r="E161" s="1501">
        <f t="shared" si="18"/>
        <v>0</v>
      </c>
      <c r="F161" s="1501">
        <f t="shared" si="18"/>
        <v>0</v>
      </c>
      <c r="G161" s="1501">
        <f t="shared" si="18"/>
        <v>0</v>
      </c>
      <c r="H161" s="1501">
        <f t="shared" si="18"/>
        <v>0</v>
      </c>
      <c r="I161" s="1501">
        <f t="shared" si="18"/>
        <v>0</v>
      </c>
      <c r="J161" s="1501">
        <f t="shared" si="18"/>
        <v>2513991</v>
      </c>
      <c r="K161" s="1501">
        <f t="shared" si="18"/>
        <v>150140</v>
      </c>
      <c r="L161" s="1501">
        <f t="shared" si="18"/>
        <v>1745880</v>
      </c>
      <c r="M161" s="1501">
        <f t="shared" si="18"/>
        <v>1246956.6400000001</v>
      </c>
      <c r="N161" s="1501">
        <f t="shared" si="18"/>
        <v>2992836.64</v>
      </c>
      <c r="O161" s="1501">
        <f t="shared" si="18"/>
        <v>18477516.640000001</v>
      </c>
      <c r="P161" s="1501">
        <f t="shared" si="18"/>
        <v>20991507.640000001</v>
      </c>
      <c r="Q161" s="1501">
        <f t="shared" si="18"/>
        <v>234</v>
      </c>
      <c r="R161" s="1501">
        <f t="shared" si="18"/>
        <v>150140</v>
      </c>
      <c r="S161" s="1501">
        <f t="shared" si="18"/>
        <v>0</v>
      </c>
      <c r="T161" s="1501">
        <f t="shared" si="18"/>
        <v>0</v>
      </c>
      <c r="U161" s="1501">
        <f t="shared" si="18"/>
        <v>0</v>
      </c>
      <c r="V161" s="1501">
        <f t="shared" si="18"/>
        <v>0</v>
      </c>
      <c r="W161" s="1501">
        <f t="shared" si="18"/>
        <v>0</v>
      </c>
      <c r="X161" s="1501">
        <f t="shared" si="18"/>
        <v>0</v>
      </c>
      <c r="Y161" s="1501">
        <f t="shared" si="18"/>
        <v>2714744</v>
      </c>
      <c r="Z161" s="1501">
        <f t="shared" si="18"/>
        <v>150140</v>
      </c>
      <c r="AA161" s="1501">
        <f t="shared" si="18"/>
        <v>2591664</v>
      </c>
      <c r="AB161" s="1501">
        <f t="shared" si="18"/>
        <v>1625891.4</v>
      </c>
      <c r="AC161" s="1501">
        <f t="shared" si="18"/>
        <v>4217555.4000000004</v>
      </c>
      <c r="AD161" s="1501">
        <f t="shared" si="18"/>
        <v>19137682.399999999</v>
      </c>
      <c r="AE161" s="1501">
        <f t="shared" si="18"/>
        <v>22416979.399999999</v>
      </c>
      <c r="AF161" s="1501">
        <f t="shared" si="18"/>
        <v>-1425471.7599999998</v>
      </c>
      <c r="AG161" s="1501">
        <f t="shared" si="18"/>
        <v>0</v>
      </c>
      <c r="AH161" s="1501">
        <f t="shared" si="18"/>
        <v>236</v>
      </c>
      <c r="AI161" s="1501">
        <f t="shared" si="18"/>
        <v>22211984.080000002</v>
      </c>
    </row>
    <row r="162" spans="1:35" s="1625" customFormat="1" ht="15.75" customHeight="1">
      <c r="A162" s="1257" t="s">
        <v>68</v>
      </c>
      <c r="B162" s="1259"/>
      <c r="C162" s="1255"/>
      <c r="D162" s="404"/>
      <c r="E162" s="1624"/>
      <c r="F162" s="1624"/>
      <c r="G162" s="1624"/>
      <c r="H162" s="1624"/>
      <c r="I162" s="1624"/>
      <c r="J162" s="1624"/>
      <c r="K162" s="1624"/>
      <c r="L162" s="1624"/>
      <c r="M162" s="1624"/>
      <c r="N162" s="1624"/>
      <c r="O162" s="1624"/>
      <c r="P162" s="1624"/>
      <c r="Q162" s="1624"/>
      <c r="R162" s="1624"/>
      <c r="S162" s="1624"/>
      <c r="T162" s="1624"/>
      <c r="U162" s="1624"/>
      <c r="V162" s="1624"/>
      <c r="W162" s="1624"/>
      <c r="X162" s="1624"/>
      <c r="Y162" s="1624"/>
      <c r="Z162" s="1624"/>
      <c r="AA162" s="1624"/>
      <c r="AB162" s="1624"/>
      <c r="AC162" s="1624"/>
      <c r="AD162" s="1624"/>
      <c r="AE162" s="1624"/>
      <c r="AF162" s="1624"/>
      <c r="AG162" s="1624"/>
      <c r="AH162" s="1624"/>
      <c r="AI162" s="1624"/>
    </row>
    <row r="163" spans="1:35" s="1625" customFormat="1" ht="15.75" customHeight="1">
      <c r="A163" s="1255" t="s">
        <v>69</v>
      </c>
      <c r="B163" s="1258" t="s">
        <v>157</v>
      </c>
      <c r="C163" s="1257"/>
      <c r="D163" s="404"/>
      <c r="E163" s="1624"/>
      <c r="F163" s="1624"/>
      <c r="G163" s="1624"/>
      <c r="H163" s="1624"/>
      <c r="I163" s="1624"/>
      <c r="J163" s="1624"/>
      <c r="K163" s="1624"/>
      <c r="L163" s="1624"/>
      <c r="M163" s="1624"/>
      <c r="N163" s="1624"/>
      <c r="O163" s="1624"/>
      <c r="P163" s="1624"/>
      <c r="Q163" s="1624"/>
      <c r="R163" s="1624"/>
      <c r="S163" s="1624"/>
      <c r="T163" s="1624"/>
      <c r="U163" s="1624"/>
      <c r="V163" s="1624"/>
      <c r="W163" s="1624"/>
      <c r="X163" s="1624"/>
      <c r="Y163" s="1624"/>
      <c r="Z163" s="1624"/>
      <c r="AA163" s="1624"/>
      <c r="AB163" s="1624"/>
      <c r="AC163" s="1624"/>
      <c r="AD163" s="1624"/>
      <c r="AE163" s="1624"/>
      <c r="AF163" s="1624"/>
      <c r="AG163" s="1624"/>
      <c r="AH163" s="1624"/>
      <c r="AI163" s="1624"/>
    </row>
    <row r="164" spans="1:35" s="1625" customFormat="1" ht="15.75" customHeight="1">
      <c r="A164" s="1255" t="s">
        <v>70</v>
      </c>
      <c r="B164" s="1256" t="s">
        <v>71</v>
      </c>
      <c r="C164" s="1255"/>
      <c r="D164" s="404"/>
      <c r="E164" s="1624"/>
      <c r="F164" s="1624"/>
      <c r="G164" s="1624"/>
      <c r="H164" s="1624"/>
      <c r="I164" s="1624"/>
      <c r="J164" s="1624"/>
      <c r="K164" s="1624"/>
      <c r="L164" s="1624"/>
      <c r="M164" s="1624"/>
      <c r="N164" s="1624"/>
      <c r="O164" s="1624"/>
      <c r="P164" s="1624"/>
      <c r="Q164" s="1624"/>
      <c r="R164" s="1624"/>
      <c r="S164" s="1624"/>
      <c r="T164" s="1624"/>
      <c r="U164" s="1624"/>
      <c r="V164" s="1624"/>
      <c r="W164" s="1624"/>
      <c r="X164" s="1624"/>
      <c r="Y164" s="1624"/>
      <c r="Z164" s="1624"/>
      <c r="AA164" s="1624"/>
      <c r="AB164" s="1624"/>
      <c r="AC164" s="1624"/>
      <c r="AD164" s="1624"/>
      <c r="AE164" s="1624"/>
      <c r="AF164" s="1624"/>
      <c r="AG164" s="1624"/>
      <c r="AH164" s="1624"/>
      <c r="AI164" s="1624"/>
    </row>
    <row r="165" spans="1:35" s="1625" customFormat="1" ht="15.75" customHeight="1">
      <c r="A165" s="1255" t="s">
        <v>72</v>
      </c>
      <c r="B165" s="1256" t="s">
        <v>73</v>
      </c>
      <c r="C165" s="1255"/>
      <c r="D165" s="404"/>
      <c r="E165" s="1624"/>
      <c r="F165" s="1624"/>
      <c r="G165" s="1624"/>
      <c r="H165" s="1624"/>
      <c r="I165" s="1624"/>
      <c r="J165" s="1624"/>
      <c r="K165" s="1624"/>
      <c r="L165" s="1624"/>
      <c r="M165" s="1624"/>
      <c r="N165" s="1624"/>
      <c r="O165" s="1624"/>
      <c r="P165" s="1624"/>
      <c r="Q165" s="1624"/>
      <c r="R165" s="1624"/>
      <c r="S165" s="1624"/>
      <c r="T165" s="1624"/>
      <c r="U165" s="1624"/>
      <c r="V165" s="1624"/>
      <c r="W165" s="1624"/>
      <c r="X165" s="1624"/>
      <c r="Y165" s="1624"/>
      <c r="Z165" s="1624"/>
      <c r="AA165" s="1624"/>
      <c r="AB165" s="1624"/>
      <c r="AC165" s="1624"/>
      <c r="AD165" s="1624"/>
      <c r="AE165" s="1624"/>
      <c r="AF165" s="1624"/>
      <c r="AG165" s="1624"/>
      <c r="AH165" s="1624"/>
      <c r="AI165" s="1624"/>
    </row>
    <row r="166" spans="1:35" s="1625" customFormat="1" ht="15.75" customHeight="1">
      <c r="A166" s="1255" t="s">
        <v>74</v>
      </c>
      <c r="B166" s="1256" t="s">
        <v>75</v>
      </c>
      <c r="C166" s="1255"/>
      <c r="D166" s="404"/>
      <c r="E166" s="1624"/>
      <c r="F166" s="1624"/>
      <c r="G166" s="1624"/>
      <c r="H166" s="1624"/>
      <c r="I166" s="1624"/>
      <c r="J166" s="1624"/>
      <c r="K166" s="1624"/>
      <c r="L166" s="1624"/>
      <c r="M166" s="1624"/>
      <c r="N166" s="1624"/>
      <c r="O166" s="1624"/>
      <c r="P166" s="1624"/>
      <c r="Q166" s="1624"/>
      <c r="R166" s="1624"/>
      <c r="S166" s="1624"/>
      <c r="T166" s="1624"/>
      <c r="U166" s="1624"/>
      <c r="V166" s="1624"/>
      <c r="W166" s="1624"/>
      <c r="X166" s="1624"/>
      <c r="Y166" s="1624"/>
      <c r="Z166" s="1624"/>
      <c r="AA166" s="1624"/>
      <c r="AB166" s="1624"/>
      <c r="AC166" s="1624"/>
      <c r="AD166" s="1624"/>
      <c r="AE166" s="1624"/>
      <c r="AF166" s="1624"/>
      <c r="AG166" s="1624"/>
      <c r="AH166" s="1624"/>
      <c r="AI166" s="1624"/>
    </row>
    <row r="167" spans="1:35" s="1625" customFormat="1" ht="15.75" customHeight="1">
      <c r="A167" s="1255"/>
      <c r="B167" s="1256" t="s">
        <v>76</v>
      </c>
      <c r="C167" s="1255"/>
      <c r="D167" s="404"/>
      <c r="E167" s="1624"/>
      <c r="F167" s="1624"/>
      <c r="G167" s="1624"/>
      <c r="H167" s="1624"/>
      <c r="I167" s="1624"/>
      <c r="J167" s="1624"/>
      <c r="K167" s="1624"/>
      <c r="L167" s="1624"/>
      <c r="M167" s="1624"/>
      <c r="N167" s="1624"/>
      <c r="O167" s="1624"/>
      <c r="P167" s="1624"/>
      <c r="Q167" s="1624"/>
      <c r="R167" s="1624"/>
      <c r="S167" s="1624"/>
      <c r="T167" s="1624"/>
      <c r="U167" s="1624"/>
      <c r="V167" s="1624"/>
      <c r="W167" s="1624"/>
      <c r="X167" s="1624"/>
      <c r="Y167" s="1624"/>
      <c r="Z167" s="1624"/>
      <c r="AA167" s="1624"/>
      <c r="AB167" s="1624"/>
      <c r="AC167" s="1624"/>
      <c r="AD167" s="1624"/>
      <c r="AE167" s="1624"/>
      <c r="AF167" s="1624"/>
      <c r="AG167" s="1624"/>
      <c r="AH167" s="1624"/>
      <c r="AI167" s="1624"/>
    </row>
    <row r="168" spans="1:35" s="1625" customFormat="1" ht="15.75" customHeight="1">
      <c r="A168" s="1256" t="s">
        <v>77</v>
      </c>
      <c r="B168" s="1256" t="s">
        <v>1328</v>
      </c>
      <c r="C168" s="1255"/>
      <c r="D168" s="404"/>
      <c r="E168" s="1624"/>
      <c r="F168" s="1624"/>
      <c r="G168" s="1624"/>
      <c r="H168" s="1624"/>
      <c r="I168" s="1624"/>
      <c r="J168" s="1624"/>
      <c r="K168" s="1624"/>
      <c r="L168" s="1624"/>
      <c r="M168" s="1624"/>
      <c r="N168" s="1624"/>
      <c r="O168" s="1624"/>
      <c r="P168" s="1624"/>
      <c r="Q168" s="1624"/>
      <c r="R168" s="1624"/>
      <c r="S168" s="1624"/>
      <c r="T168" s="1624"/>
      <c r="U168" s="1624"/>
      <c r="V168" s="1624"/>
      <c r="W168" s="1624"/>
      <c r="X168" s="1624"/>
      <c r="Y168" s="1624"/>
      <c r="Z168" s="1624"/>
      <c r="AA168" s="1624"/>
      <c r="AB168" s="1624"/>
      <c r="AC168" s="1624"/>
      <c r="AD168" s="1624"/>
      <c r="AE168" s="1624"/>
      <c r="AF168" s="1624"/>
      <c r="AG168" s="1624"/>
      <c r="AH168" s="1624"/>
      <c r="AI168" s="1624"/>
    </row>
    <row r="169" spans="1:35" s="1625" customFormat="1" ht="15.75" customHeight="1">
      <c r="A169" s="1256"/>
      <c r="B169" s="1256" t="s">
        <v>78</v>
      </c>
      <c r="C169" s="1255"/>
      <c r="D169" s="404"/>
      <c r="E169" s="1624"/>
      <c r="F169" s="1624"/>
      <c r="G169" s="1624"/>
      <c r="H169" s="1624"/>
      <c r="I169" s="1624"/>
      <c r="J169" s="1624"/>
      <c r="K169" s="1624"/>
      <c r="L169" s="1624"/>
      <c r="M169" s="1624"/>
      <c r="N169" s="1624"/>
      <c r="O169" s="1624"/>
      <c r="P169" s="1624"/>
      <c r="Q169" s="1624"/>
      <c r="R169" s="1624"/>
      <c r="S169" s="1624"/>
      <c r="T169" s="1624"/>
      <c r="U169" s="1624"/>
      <c r="V169" s="1624"/>
      <c r="W169" s="1624"/>
      <c r="X169" s="1624"/>
      <c r="Y169" s="1624"/>
      <c r="Z169" s="1624"/>
      <c r="AA169" s="1624"/>
      <c r="AB169" s="1624"/>
      <c r="AC169" s="1624"/>
      <c r="AD169" s="1624"/>
      <c r="AE169" s="1624"/>
      <c r="AF169" s="1624"/>
      <c r="AG169" s="1624"/>
      <c r="AH169" s="1624"/>
      <c r="AI169" s="1624"/>
    </row>
    <row r="170" spans="1:35" s="1625" customFormat="1" ht="15.75" customHeight="1">
      <c r="A170" s="1256"/>
      <c r="B170" s="1256" t="s">
        <v>79</v>
      </c>
      <c r="C170" s="1255"/>
      <c r="D170" s="404"/>
      <c r="E170" s="1624"/>
      <c r="F170" s="1624"/>
      <c r="G170" s="1624"/>
      <c r="H170" s="1624"/>
      <c r="I170" s="1624"/>
      <c r="J170" s="1624"/>
      <c r="K170" s="1624"/>
      <c r="L170" s="1624"/>
      <c r="M170" s="1624"/>
      <c r="N170" s="1624"/>
      <c r="O170" s="1624"/>
      <c r="P170" s="1624"/>
      <c r="Q170" s="1624"/>
      <c r="R170" s="1624"/>
      <c r="S170" s="1624"/>
      <c r="T170" s="1624"/>
      <c r="U170" s="1624"/>
      <c r="V170" s="1624"/>
      <c r="W170" s="1624"/>
      <c r="X170" s="1624"/>
      <c r="Y170" s="1624"/>
      <c r="Z170" s="1624"/>
      <c r="AA170" s="1624"/>
      <c r="AB170" s="1624"/>
      <c r="AC170" s="1624"/>
      <c r="AD170" s="1624"/>
      <c r="AE170" s="1624"/>
      <c r="AF170" s="1624"/>
      <c r="AG170" s="1624"/>
      <c r="AH170" s="1624"/>
      <c r="AI170" s="1624"/>
    </row>
    <row r="171" spans="1:35" s="1625" customFormat="1" ht="15.75" customHeight="1">
      <c r="A171" s="1255"/>
      <c r="B171" s="1256" t="s">
        <v>80</v>
      </c>
      <c r="C171" s="1255"/>
      <c r="D171" s="404"/>
      <c r="E171" s="1624"/>
      <c r="F171" s="1624"/>
      <c r="G171" s="1624"/>
      <c r="H171" s="1624"/>
      <c r="I171" s="1624"/>
      <c r="J171" s="1624"/>
      <c r="K171" s="1624"/>
      <c r="L171" s="1624"/>
      <c r="M171" s="1624"/>
      <c r="N171" s="1624"/>
      <c r="O171" s="1624"/>
      <c r="P171" s="1624"/>
      <c r="Q171" s="1624"/>
      <c r="R171" s="1624"/>
      <c r="S171" s="1624"/>
      <c r="T171" s="1624"/>
      <c r="U171" s="1624"/>
      <c r="V171" s="1624"/>
      <c r="W171" s="1624"/>
      <c r="X171" s="1624"/>
      <c r="Y171" s="1624"/>
      <c r="Z171" s="1624"/>
      <c r="AA171" s="1624"/>
      <c r="AB171" s="1624"/>
      <c r="AC171" s="1624"/>
      <c r="AD171" s="1624"/>
      <c r="AE171" s="1624"/>
      <c r="AF171" s="1624"/>
      <c r="AG171" s="1624"/>
      <c r="AH171" s="1624"/>
      <c r="AI171" s="1624"/>
    </row>
    <row r="172" spans="1:35" s="1625" customFormat="1" ht="15.75" customHeight="1">
      <c r="A172" s="1255" t="s">
        <v>182</v>
      </c>
      <c r="B172" s="1256" t="s">
        <v>183</v>
      </c>
      <c r="C172" s="1255"/>
      <c r="D172" s="404"/>
      <c r="E172" s="1624"/>
      <c r="F172" s="1624"/>
      <c r="G172" s="1624"/>
      <c r="H172" s="1624"/>
      <c r="I172" s="1624"/>
      <c r="J172" s="1624"/>
      <c r="K172" s="1624"/>
      <c r="L172" s="1624"/>
      <c r="M172" s="1624"/>
      <c r="N172" s="1624"/>
      <c r="O172" s="1624"/>
      <c r="P172" s="1624"/>
      <c r="Q172" s="1624"/>
      <c r="R172" s="1624"/>
      <c r="S172" s="1624"/>
      <c r="T172" s="1624"/>
      <c r="U172" s="1624"/>
      <c r="V172" s="1624"/>
      <c r="W172" s="1624"/>
      <c r="X172" s="1624"/>
      <c r="Y172" s="1624"/>
      <c r="Z172" s="1624"/>
      <c r="AA172" s="1624"/>
      <c r="AB172" s="1624"/>
      <c r="AC172" s="1624"/>
      <c r="AD172" s="1624"/>
      <c r="AE172" s="1624"/>
      <c r="AF172" s="1624"/>
      <c r="AG172" s="1624"/>
      <c r="AH172" s="1624"/>
      <c r="AI172" s="1624"/>
    </row>
    <row r="173" spans="1:35" s="1625" customFormat="1" ht="15.75" customHeight="1">
      <c r="A173" s="1255" t="s">
        <v>184</v>
      </c>
      <c r="B173" s="1256" t="s">
        <v>153</v>
      </c>
      <c r="C173" s="1255"/>
      <c r="D173" s="404"/>
      <c r="E173" s="1624"/>
      <c r="F173" s="1624"/>
      <c r="G173" s="1624"/>
      <c r="H173" s="1624"/>
      <c r="I173" s="1624"/>
      <c r="J173" s="1624"/>
      <c r="K173" s="1624"/>
      <c r="L173" s="1624"/>
      <c r="M173" s="1624"/>
      <c r="N173" s="1624"/>
      <c r="O173" s="1624"/>
      <c r="P173" s="1624"/>
      <c r="Q173" s="1624"/>
      <c r="R173" s="1624"/>
      <c r="S173" s="1624"/>
      <c r="T173" s="1624"/>
      <c r="U173" s="1624"/>
      <c r="V173" s="1624"/>
      <c r="W173" s="1624"/>
      <c r="X173" s="1624"/>
      <c r="Y173" s="1624"/>
      <c r="Z173" s="1624"/>
      <c r="AA173" s="1624"/>
      <c r="AB173" s="1624"/>
      <c r="AC173" s="1624"/>
      <c r="AD173" s="1624"/>
      <c r="AE173" s="1624"/>
      <c r="AF173" s="1624"/>
      <c r="AG173" s="1624"/>
      <c r="AH173" s="1624"/>
      <c r="AI173" s="1624"/>
    </row>
    <row r="174" spans="1:35" s="1625" customFormat="1" ht="15.75" customHeight="1">
      <c r="A174" s="1255" t="s">
        <v>185</v>
      </c>
      <c r="B174" s="1256" t="s">
        <v>1329</v>
      </c>
      <c r="C174" s="1255"/>
      <c r="D174" s="404"/>
      <c r="E174" s="1624"/>
      <c r="F174" s="1624"/>
      <c r="G174" s="1624"/>
      <c r="H174" s="1624"/>
      <c r="I174" s="1624"/>
      <c r="J174" s="1624"/>
      <c r="K174" s="1624"/>
      <c r="L174" s="1624"/>
      <c r="M174" s="1624"/>
      <c r="N174" s="1624"/>
      <c r="O174" s="1624"/>
      <c r="P174" s="1624"/>
      <c r="Q174" s="1624"/>
      <c r="R174" s="1624"/>
      <c r="S174" s="1624"/>
      <c r="T174" s="1624"/>
      <c r="U174" s="1624"/>
      <c r="V174" s="1624"/>
      <c r="W174" s="1624"/>
      <c r="X174" s="1624"/>
      <c r="Y174" s="1624"/>
      <c r="Z174" s="1624"/>
      <c r="AA174" s="1624"/>
      <c r="AB174" s="1624"/>
      <c r="AC174" s="1624"/>
      <c r="AD174" s="1624"/>
      <c r="AE174" s="1624"/>
      <c r="AF174" s="1624"/>
      <c r="AG174" s="1624"/>
      <c r="AH174" s="1624"/>
      <c r="AI174" s="1624"/>
    </row>
    <row r="175" spans="1:35" s="1625" customFormat="1" ht="15.75" customHeight="1">
      <c r="A175" s="1255"/>
      <c r="B175" s="1256" t="s">
        <v>78</v>
      </c>
      <c r="C175" s="1255"/>
      <c r="D175" s="404"/>
      <c r="E175" s="1624"/>
      <c r="F175" s="1624"/>
      <c r="G175" s="1624"/>
      <c r="H175" s="1624"/>
      <c r="I175" s="1624"/>
      <c r="J175" s="1624"/>
      <c r="K175" s="1624"/>
      <c r="L175" s="1624"/>
      <c r="M175" s="1624"/>
      <c r="N175" s="1624"/>
      <c r="O175" s="1624"/>
      <c r="P175" s="1624"/>
      <c r="Q175" s="1624"/>
      <c r="R175" s="1624"/>
      <c r="S175" s="1624"/>
      <c r="T175" s="1624"/>
      <c r="U175" s="1624"/>
      <c r="V175" s="1624"/>
      <c r="W175" s="1624"/>
      <c r="X175" s="1624"/>
      <c r="Y175" s="1624"/>
      <c r="Z175" s="1624"/>
      <c r="AA175" s="1624"/>
      <c r="AB175" s="1624"/>
      <c r="AC175" s="1624"/>
      <c r="AD175" s="1624"/>
      <c r="AE175" s="1624"/>
      <c r="AF175" s="1624"/>
      <c r="AG175" s="1624"/>
      <c r="AH175" s="1624"/>
      <c r="AI175" s="1624"/>
    </row>
    <row r="176" spans="1:35" s="1625" customFormat="1" ht="15.75" customHeight="1">
      <c r="A176" s="1255"/>
      <c r="B176" s="1256" t="s">
        <v>79</v>
      </c>
      <c r="C176" s="1255"/>
      <c r="D176" s="404"/>
      <c r="E176" s="1624"/>
      <c r="F176" s="1624"/>
      <c r="G176" s="1624"/>
      <c r="H176" s="1624"/>
      <c r="I176" s="1624"/>
      <c r="J176" s="1624"/>
      <c r="K176" s="1624"/>
      <c r="L176" s="1624"/>
      <c r="M176" s="1624"/>
      <c r="N176" s="1624"/>
      <c r="O176" s="1624"/>
      <c r="P176" s="1624"/>
      <c r="Q176" s="1624"/>
      <c r="R176" s="1624"/>
      <c r="S176" s="1624"/>
      <c r="T176" s="1624"/>
      <c r="U176" s="1624"/>
      <c r="V176" s="1624"/>
      <c r="W176" s="1624"/>
      <c r="X176" s="1624"/>
      <c r="Y176" s="1624"/>
      <c r="Z176" s="1624"/>
      <c r="AA176" s="1624"/>
      <c r="AB176" s="1624"/>
      <c r="AC176" s="1624"/>
      <c r="AD176" s="1624"/>
      <c r="AE176" s="1624"/>
      <c r="AF176" s="1624"/>
      <c r="AG176" s="1624"/>
      <c r="AH176" s="1624"/>
      <c r="AI176" s="1624"/>
    </row>
    <row r="177" spans="1:35" s="1625" customFormat="1" ht="15.75" customHeight="1">
      <c r="A177" s="1255"/>
      <c r="B177" s="1256" t="s">
        <v>117</v>
      </c>
      <c r="C177" s="1255"/>
      <c r="D177" s="404"/>
      <c r="E177" s="1624"/>
      <c r="F177" s="1624"/>
      <c r="G177" s="1624"/>
      <c r="H177" s="1624"/>
      <c r="I177" s="1624"/>
      <c r="J177" s="1624"/>
      <c r="K177" s="1624"/>
      <c r="L177" s="1624"/>
      <c r="M177" s="1624"/>
      <c r="N177" s="1624"/>
      <c r="O177" s="1624"/>
      <c r="P177" s="1624"/>
      <c r="Q177" s="1624"/>
      <c r="R177" s="1624"/>
      <c r="S177" s="1624"/>
      <c r="T177" s="1624"/>
      <c r="U177" s="1624"/>
      <c r="V177" s="1624"/>
      <c r="W177" s="1624"/>
      <c r="X177" s="1624"/>
      <c r="Y177" s="1624"/>
      <c r="Z177" s="1624"/>
      <c r="AA177" s="1624"/>
      <c r="AB177" s="1624"/>
      <c r="AC177" s="1624"/>
      <c r="AD177" s="1624"/>
      <c r="AE177" s="1624"/>
      <c r="AF177" s="1624"/>
      <c r="AG177" s="1624"/>
      <c r="AH177" s="1624"/>
      <c r="AI177" s="1624"/>
    </row>
    <row r="178" spans="1:35" s="1625" customFormat="1" ht="15.75" customHeight="1">
      <c r="A178" s="1255" t="s">
        <v>194</v>
      </c>
      <c r="B178" s="1256" t="s">
        <v>195</v>
      </c>
      <c r="C178" s="1255"/>
      <c r="D178" s="404"/>
      <c r="E178" s="1624"/>
      <c r="F178" s="1624"/>
      <c r="G178" s="1624"/>
      <c r="H178" s="1624"/>
      <c r="I178" s="1624"/>
      <c r="J178" s="1624"/>
      <c r="K178" s="1624"/>
      <c r="L178" s="1624"/>
      <c r="M178" s="1624"/>
      <c r="N178" s="1624"/>
      <c r="O178" s="1624"/>
      <c r="P178" s="1624"/>
      <c r="Q178" s="1624"/>
      <c r="R178" s="1624"/>
      <c r="S178" s="1624"/>
      <c r="T178" s="1624"/>
      <c r="U178" s="1624"/>
      <c r="V178" s="1624"/>
      <c r="W178" s="1624"/>
      <c r="X178" s="1624"/>
      <c r="Y178" s="1624"/>
      <c r="Z178" s="1624"/>
      <c r="AA178" s="1624"/>
      <c r="AB178" s="1624"/>
      <c r="AC178" s="1624"/>
      <c r="AD178" s="1624"/>
      <c r="AE178" s="1624"/>
      <c r="AF178" s="1624"/>
      <c r="AG178" s="1624"/>
      <c r="AH178" s="1624"/>
      <c r="AI178" s="1624"/>
    </row>
    <row r="179" spans="1:35" s="1625" customFormat="1" ht="13.5" customHeight="1">
      <c r="A179" s="1255" t="s">
        <v>192</v>
      </c>
      <c r="B179" s="1256" t="s">
        <v>188</v>
      </c>
      <c r="C179" s="1255"/>
      <c r="D179" s="404"/>
      <c r="E179" s="1624"/>
      <c r="F179" s="1624"/>
      <c r="G179" s="1624"/>
      <c r="H179" s="1624"/>
      <c r="I179" s="1624"/>
      <c r="J179" s="1624"/>
      <c r="K179" s="1624"/>
      <c r="L179" s="1624"/>
      <c r="M179" s="1624"/>
      <c r="N179" s="1624"/>
      <c r="O179" s="1624"/>
      <c r="P179" s="1624"/>
      <c r="Q179" s="1624"/>
      <c r="R179" s="1624"/>
      <c r="S179" s="1624"/>
      <c r="T179" s="1624"/>
      <c r="U179" s="1624"/>
      <c r="V179" s="1624"/>
      <c r="W179" s="1624"/>
      <c r="X179" s="1624"/>
      <c r="Y179" s="1624"/>
      <c r="Z179" s="1624"/>
      <c r="AA179" s="1624"/>
      <c r="AB179" s="1624"/>
      <c r="AC179" s="1624"/>
      <c r="AD179" s="1624"/>
      <c r="AE179" s="1624"/>
      <c r="AF179" s="1624"/>
      <c r="AG179" s="1624"/>
      <c r="AH179" s="1624"/>
      <c r="AI179" s="1624"/>
    </row>
    <row r="180" spans="1:35" s="1625" customFormat="1" ht="12.75" customHeight="1">
      <c r="A180" s="1255" t="s">
        <v>193</v>
      </c>
      <c r="B180" s="1256" t="s">
        <v>196</v>
      </c>
      <c r="C180" s="1255"/>
      <c r="D180" s="404"/>
      <c r="E180" s="1624"/>
      <c r="F180" s="1624"/>
      <c r="G180" s="1624"/>
      <c r="H180" s="1624"/>
      <c r="I180" s="1624"/>
      <c r="J180" s="1624"/>
      <c r="K180" s="1624"/>
      <c r="L180" s="1624"/>
      <c r="M180" s="1624"/>
      <c r="N180" s="1624"/>
      <c r="O180" s="1624"/>
      <c r="P180" s="1624"/>
      <c r="Q180" s="1624"/>
      <c r="R180" s="1624"/>
      <c r="S180" s="1624"/>
      <c r="T180" s="1624"/>
      <c r="U180" s="1624"/>
      <c r="V180" s="1624"/>
      <c r="W180" s="1624"/>
      <c r="X180" s="1624"/>
      <c r="Y180" s="1624"/>
      <c r="Z180" s="1624"/>
      <c r="AA180" s="1624"/>
      <c r="AB180" s="1624"/>
      <c r="AC180" s="1624"/>
      <c r="AD180" s="1624"/>
      <c r="AE180" s="1624"/>
      <c r="AF180" s="1624"/>
      <c r="AG180" s="1624"/>
      <c r="AH180" s="1624"/>
      <c r="AI180" s="1624"/>
    </row>
    <row r="181" spans="1:35" s="1625" customFormat="1" ht="15.75" customHeight="1">
      <c r="A181" s="404"/>
      <c r="B181" s="889"/>
      <c r="C181" s="404"/>
      <c r="D181" s="404"/>
      <c r="E181" s="1624"/>
      <c r="F181" s="1624"/>
      <c r="G181" s="1624"/>
      <c r="H181" s="1624"/>
      <c r="I181" s="1624"/>
      <c r="J181" s="1624"/>
      <c r="K181" s="1624"/>
      <c r="L181" s="1624"/>
      <c r="M181" s="1624"/>
      <c r="N181" s="1624"/>
      <c r="O181" s="1624"/>
      <c r="P181" s="1624"/>
      <c r="Q181" s="1624"/>
      <c r="R181" s="1624"/>
      <c r="S181" s="1624"/>
      <c r="T181" s="1624"/>
      <c r="U181" s="1624"/>
      <c r="V181" s="1624"/>
      <c r="W181" s="1624"/>
      <c r="X181" s="1624"/>
      <c r="Y181" s="1624"/>
      <c r="Z181" s="1624"/>
      <c r="AA181" s="1624"/>
      <c r="AB181" s="1624"/>
      <c r="AC181" s="1624"/>
      <c r="AD181" s="1624"/>
      <c r="AE181" s="1624"/>
      <c r="AF181" s="1624"/>
      <c r="AG181" s="1624"/>
      <c r="AH181" s="1624"/>
      <c r="AI181" s="1624"/>
    </row>
    <row r="184" spans="1:35" ht="21" customHeight="1" thickBot="1">
      <c r="A184" s="826" t="s">
        <v>563</v>
      </c>
      <c r="B184" s="807"/>
      <c r="C184" s="807"/>
      <c r="D184" s="807"/>
      <c r="E184" s="807"/>
      <c r="F184" s="807"/>
      <c r="G184" s="807"/>
      <c r="H184" s="807"/>
      <c r="I184" s="807"/>
      <c r="J184" s="807"/>
      <c r="K184" s="807"/>
      <c r="L184" s="807"/>
      <c r="M184" s="807"/>
      <c r="N184" s="807"/>
      <c r="O184" s="807"/>
      <c r="P184" s="807"/>
      <c r="Q184" s="807"/>
      <c r="R184" s="807"/>
      <c r="S184" s="807"/>
      <c r="T184" s="808"/>
      <c r="U184" s="807"/>
      <c r="V184" s="807"/>
      <c r="W184" s="807"/>
      <c r="X184" s="807"/>
      <c r="Y184" s="807"/>
      <c r="Z184" s="807"/>
      <c r="AA184" s="807"/>
      <c r="AB184" s="807"/>
      <c r="AC184" s="807"/>
      <c r="AD184" s="807"/>
      <c r="AE184" s="807"/>
      <c r="AF184" s="807"/>
      <c r="AG184" s="807"/>
      <c r="AH184" s="807"/>
      <c r="AI184" s="807"/>
    </row>
    <row r="185" spans="1:35" ht="33" customHeight="1" thickBot="1">
      <c r="A185" s="1708" t="s">
        <v>59</v>
      </c>
      <c r="B185" s="1734" t="s">
        <v>326</v>
      </c>
      <c r="C185" s="1734"/>
      <c r="D185" s="1734"/>
      <c r="E185" s="1734"/>
      <c r="F185" s="1734"/>
      <c r="G185" s="1734"/>
      <c r="H185" s="1734"/>
      <c r="I185" s="1734"/>
      <c r="J185" s="1734"/>
      <c r="K185" s="1734"/>
      <c r="L185" s="1734"/>
      <c r="M185" s="1734"/>
      <c r="N185" s="1734"/>
      <c r="O185" s="1734"/>
      <c r="P185" s="1734"/>
      <c r="Q185" s="1735" t="s">
        <v>418</v>
      </c>
      <c r="R185" s="1734"/>
      <c r="S185" s="1734"/>
      <c r="T185" s="1734"/>
      <c r="U185" s="1734"/>
      <c r="V185" s="1734"/>
      <c r="W185" s="1734"/>
      <c r="X185" s="1734"/>
      <c r="Y185" s="1734"/>
      <c r="Z185" s="1734"/>
      <c r="AA185" s="1734"/>
      <c r="AB185" s="1734"/>
      <c r="AC185" s="1734"/>
      <c r="AD185" s="1734"/>
      <c r="AE185" s="1736"/>
      <c r="AF185" s="1737" t="s">
        <v>420</v>
      </c>
      <c r="AG185" s="1738"/>
      <c r="AH185" s="1737" t="s">
        <v>419</v>
      </c>
      <c r="AI185" s="1738"/>
    </row>
    <row r="186" spans="1:35" ht="129.94999999999999" customHeight="1">
      <c r="A186" s="1730"/>
      <c r="B186" s="809" t="s">
        <v>11</v>
      </c>
      <c r="C186" s="810" t="s">
        <v>144</v>
      </c>
      <c r="D186" s="811" t="s">
        <v>265</v>
      </c>
      <c r="E186" s="811" t="s">
        <v>146</v>
      </c>
      <c r="F186" s="811" t="s">
        <v>178</v>
      </c>
      <c r="G186" s="811" t="s">
        <v>179</v>
      </c>
      <c r="H186" s="811" t="s">
        <v>180</v>
      </c>
      <c r="I186" s="811" t="s">
        <v>181</v>
      </c>
      <c r="J186" s="811" t="s">
        <v>147</v>
      </c>
      <c r="K186" s="811" t="s">
        <v>148</v>
      </c>
      <c r="L186" s="811" t="s">
        <v>149</v>
      </c>
      <c r="M186" s="811" t="s">
        <v>177</v>
      </c>
      <c r="N186" s="812" t="s">
        <v>119</v>
      </c>
      <c r="O186" s="813" t="s">
        <v>152</v>
      </c>
      <c r="P186" s="814" t="s">
        <v>151</v>
      </c>
      <c r="Q186" s="809" t="s">
        <v>11</v>
      </c>
      <c r="R186" s="827" t="s">
        <v>144</v>
      </c>
      <c r="S186" s="809" t="s">
        <v>145</v>
      </c>
      <c r="T186" s="810" t="s">
        <v>146</v>
      </c>
      <c r="U186" s="811" t="s">
        <v>178</v>
      </c>
      <c r="V186" s="811" t="s">
        <v>179</v>
      </c>
      <c r="W186" s="811" t="s">
        <v>180</v>
      </c>
      <c r="X186" s="811" t="s">
        <v>181</v>
      </c>
      <c r="Y186" s="811" t="s">
        <v>147</v>
      </c>
      <c r="Z186" s="811" t="s">
        <v>148</v>
      </c>
      <c r="AA186" s="811" t="s">
        <v>149</v>
      </c>
      <c r="AB186" s="811" t="s">
        <v>177</v>
      </c>
      <c r="AC186" s="812" t="s">
        <v>119</v>
      </c>
      <c r="AD186" s="813" t="s">
        <v>152</v>
      </c>
      <c r="AE186" s="814" t="s">
        <v>1316</v>
      </c>
      <c r="AF186" s="815" t="s">
        <v>156</v>
      </c>
      <c r="AG186" s="815" t="s">
        <v>155</v>
      </c>
      <c r="AH186" s="815" t="s">
        <v>11</v>
      </c>
      <c r="AI186" s="814" t="s">
        <v>1317</v>
      </c>
    </row>
    <row r="187" spans="1:35" ht="21" customHeight="1" thickBot="1">
      <c r="A187" s="1733"/>
      <c r="B187" s="816" t="s">
        <v>60</v>
      </c>
      <c r="C187" s="817" t="s">
        <v>61</v>
      </c>
      <c r="D187" s="828" t="s">
        <v>62</v>
      </c>
      <c r="E187" s="818" t="s">
        <v>63</v>
      </c>
      <c r="F187" s="819" t="s">
        <v>64</v>
      </c>
      <c r="G187" s="819" t="s">
        <v>65</v>
      </c>
      <c r="H187" s="819" t="s">
        <v>81</v>
      </c>
      <c r="I187" s="819" t="s">
        <v>118</v>
      </c>
      <c r="J187" s="819" t="s">
        <v>150</v>
      </c>
      <c r="K187" s="819" t="s">
        <v>154</v>
      </c>
      <c r="L187" s="819" t="s">
        <v>186</v>
      </c>
      <c r="M187" s="819" t="s">
        <v>187</v>
      </c>
      <c r="N187" s="820" t="s">
        <v>189</v>
      </c>
      <c r="O187" s="821" t="s">
        <v>190</v>
      </c>
      <c r="P187" s="822" t="s">
        <v>191</v>
      </c>
      <c r="Q187" s="816" t="s">
        <v>60</v>
      </c>
      <c r="R187" s="829" t="s">
        <v>61</v>
      </c>
      <c r="S187" s="816" t="s">
        <v>62</v>
      </c>
      <c r="T187" s="817" t="s">
        <v>63</v>
      </c>
      <c r="U187" s="819" t="s">
        <v>64</v>
      </c>
      <c r="V187" s="819" t="s">
        <v>65</v>
      </c>
      <c r="W187" s="819" t="s">
        <v>81</v>
      </c>
      <c r="X187" s="819" t="s">
        <v>118</v>
      </c>
      <c r="Y187" s="819" t="s">
        <v>150</v>
      </c>
      <c r="Z187" s="819" t="s">
        <v>154</v>
      </c>
      <c r="AA187" s="819" t="s">
        <v>186</v>
      </c>
      <c r="AB187" s="819" t="s">
        <v>187</v>
      </c>
      <c r="AC187" s="820" t="s">
        <v>189</v>
      </c>
      <c r="AD187" s="821" t="s">
        <v>190</v>
      </c>
      <c r="AE187" s="822" t="s">
        <v>191</v>
      </c>
      <c r="AF187" s="823"/>
      <c r="AG187" s="816"/>
      <c r="AH187" s="823"/>
      <c r="AI187" s="816"/>
    </row>
    <row r="188" spans="1:35" s="1263" customFormat="1">
      <c r="A188" s="1562"/>
      <c r="B188" s="1274"/>
      <c r="C188" s="1274"/>
      <c r="D188" s="1274"/>
      <c r="E188" s="1274"/>
      <c r="F188" s="1274"/>
      <c r="G188" s="1274"/>
      <c r="H188" s="1274"/>
      <c r="I188" s="1274"/>
      <c r="J188" s="1274"/>
      <c r="K188" s="1274"/>
      <c r="L188" s="1274"/>
      <c r="M188" s="1274"/>
      <c r="N188" s="1274"/>
      <c r="O188" s="1274"/>
      <c r="P188" s="1274"/>
      <c r="Q188" s="1274"/>
      <c r="R188" s="1274"/>
      <c r="S188" s="1563"/>
      <c r="T188" s="1563"/>
      <c r="U188" s="1563"/>
      <c r="V188" s="1563"/>
      <c r="W188" s="1563"/>
      <c r="X188" s="1563"/>
      <c r="Y188" s="1563"/>
      <c r="Z188" s="1563"/>
      <c r="AA188" s="1563"/>
      <c r="AB188" s="1563"/>
      <c r="AC188" s="1563"/>
      <c r="AD188" s="1274"/>
      <c r="AE188" s="1274"/>
      <c r="AF188" s="1274"/>
      <c r="AG188" s="1274"/>
      <c r="AH188" s="1274"/>
      <c r="AI188" s="1275"/>
    </row>
    <row r="189" spans="1:35" s="734" customFormat="1" ht="12.75">
      <c r="A189" s="1428" t="s">
        <v>4872</v>
      </c>
      <c r="B189" s="1268"/>
      <c r="C189" s="1268"/>
      <c r="D189" s="1268"/>
      <c r="E189" s="1268"/>
      <c r="F189" s="1268"/>
      <c r="G189" s="1268"/>
      <c r="H189" s="1268"/>
      <c r="I189" s="1268"/>
      <c r="J189" s="1268"/>
      <c r="K189" s="1268"/>
      <c r="L189" s="1268"/>
      <c r="M189" s="1268"/>
      <c r="N189" s="1268"/>
      <c r="O189" s="1268"/>
      <c r="P189" s="1268"/>
      <c r="Q189" s="1268"/>
      <c r="R189" s="1268"/>
      <c r="S189" s="1270"/>
      <c r="T189" s="1270"/>
      <c r="U189" s="1270"/>
      <c r="V189" s="1270"/>
      <c r="W189" s="1270"/>
      <c r="X189" s="1270"/>
      <c r="Y189" s="1270"/>
      <c r="Z189" s="1270"/>
      <c r="AA189" s="1270"/>
      <c r="AB189" s="1270"/>
      <c r="AC189" s="1270"/>
      <c r="AD189" s="1268"/>
      <c r="AE189" s="1268"/>
      <c r="AF189" s="1268"/>
      <c r="AG189" s="1268"/>
      <c r="AH189" s="1268"/>
      <c r="AI189" s="1272"/>
    </row>
    <row r="190" spans="1:35" s="734" customFormat="1" ht="12.75">
      <c r="A190" s="1517"/>
      <c r="B190" s="1273"/>
      <c r="C190" s="1268"/>
      <c r="D190" s="1273"/>
      <c r="E190" s="1268"/>
      <c r="F190" s="1273"/>
      <c r="G190" s="1267"/>
      <c r="H190" s="1267"/>
      <c r="I190" s="1267"/>
      <c r="J190" s="1267"/>
      <c r="K190" s="1267"/>
      <c r="L190" s="1267"/>
      <c r="M190" s="1267"/>
      <c r="N190" s="1268"/>
      <c r="O190" s="1271"/>
      <c r="P190" s="1272"/>
      <c r="Q190" s="1273"/>
      <c r="R190" s="1268"/>
      <c r="S190" s="1518"/>
      <c r="T190" s="1519"/>
      <c r="U190" s="1266"/>
      <c r="V190" s="1266"/>
      <c r="W190" s="1266"/>
      <c r="X190" s="1266"/>
      <c r="Y190" s="1266"/>
      <c r="Z190" s="1266"/>
      <c r="AA190" s="1266"/>
      <c r="AB190" s="1266"/>
      <c r="AC190" s="1270"/>
      <c r="AD190" s="1271"/>
      <c r="AE190" s="1272"/>
      <c r="AF190" s="1272"/>
      <c r="AG190" s="1273"/>
      <c r="AH190" s="1272"/>
      <c r="AI190" s="1273"/>
    </row>
    <row r="191" spans="1:35" s="734" customFormat="1" ht="18" customHeight="1">
      <c r="A191" s="1520" t="s">
        <v>7</v>
      </c>
      <c r="B191" s="1303">
        <f>SUM(B192:B196)</f>
        <v>36</v>
      </c>
      <c r="C191" s="1545">
        <f t="shared" ref="C191:AI191" si="19">SUM(C192:C196)</f>
        <v>61972</v>
      </c>
      <c r="D191" s="1546">
        <f t="shared" si="19"/>
        <v>0</v>
      </c>
      <c r="E191" s="1545">
        <f t="shared" si="19"/>
        <v>0</v>
      </c>
      <c r="F191" s="1546">
        <f t="shared" si="19"/>
        <v>0</v>
      </c>
      <c r="G191" s="1547">
        <f t="shared" si="19"/>
        <v>0</v>
      </c>
      <c r="H191" s="1547">
        <f t="shared" si="19"/>
        <v>0</v>
      </c>
      <c r="I191" s="1547">
        <f t="shared" si="19"/>
        <v>0</v>
      </c>
      <c r="J191" s="1547">
        <f t="shared" si="19"/>
        <v>0</v>
      </c>
      <c r="K191" s="1547">
        <f t="shared" si="19"/>
        <v>61972</v>
      </c>
      <c r="L191" s="1547">
        <f t="shared" si="19"/>
        <v>132277.68</v>
      </c>
      <c r="M191" s="1547">
        <f t="shared" si="19"/>
        <v>0</v>
      </c>
      <c r="N191" s="1545">
        <f t="shared" si="19"/>
        <v>132277.68</v>
      </c>
      <c r="O191" s="1548">
        <f t="shared" si="19"/>
        <v>875941.68000000017</v>
      </c>
      <c r="P191" s="1549">
        <f t="shared" si="19"/>
        <v>5595489.7599999998</v>
      </c>
      <c r="Q191" s="1546">
        <f t="shared" si="19"/>
        <v>36</v>
      </c>
      <c r="R191" s="1545">
        <f t="shared" si="19"/>
        <v>61972</v>
      </c>
      <c r="S191" s="1550">
        <f t="shared" si="19"/>
        <v>0</v>
      </c>
      <c r="T191" s="1546">
        <f t="shared" si="19"/>
        <v>0</v>
      </c>
      <c r="U191" s="1547">
        <f t="shared" si="19"/>
        <v>0</v>
      </c>
      <c r="V191" s="1547">
        <f t="shared" si="19"/>
        <v>0</v>
      </c>
      <c r="W191" s="1547">
        <f t="shared" si="19"/>
        <v>0</v>
      </c>
      <c r="X191" s="1547">
        <f t="shared" si="19"/>
        <v>0</v>
      </c>
      <c r="Y191" s="1547">
        <f t="shared" si="19"/>
        <v>0</v>
      </c>
      <c r="Z191" s="1547">
        <f t="shared" si="19"/>
        <v>61972</v>
      </c>
      <c r="AA191" s="1547">
        <f t="shared" si="19"/>
        <v>134201.48000000001</v>
      </c>
      <c r="AB191" s="1547">
        <f t="shared" si="19"/>
        <v>0</v>
      </c>
      <c r="AC191" s="1545">
        <f t="shared" si="19"/>
        <v>134201.48000000001</v>
      </c>
      <c r="AD191" s="1548">
        <f t="shared" si="19"/>
        <v>877865.48</v>
      </c>
      <c r="AE191" s="1549">
        <f t="shared" si="19"/>
        <v>5622422.959999999</v>
      </c>
      <c r="AF191" s="1549">
        <f t="shared" si="19"/>
        <v>0</v>
      </c>
      <c r="AG191" s="1546">
        <f t="shared" si="19"/>
        <v>26933.199999999721</v>
      </c>
      <c r="AH191" s="1549">
        <f t="shared" si="19"/>
        <v>36</v>
      </c>
      <c r="AI191" s="1546">
        <f t="shared" si="19"/>
        <v>5622422.959999999</v>
      </c>
    </row>
    <row r="192" spans="1:35" s="734" customFormat="1" ht="15.95" customHeight="1">
      <c r="A192" s="1521" t="s">
        <v>753</v>
      </c>
      <c r="B192" s="1522">
        <v>1</v>
      </c>
      <c r="C192" s="1523">
        <v>15600</v>
      </c>
      <c r="D192" s="1524"/>
      <c r="E192" s="1525"/>
      <c r="F192" s="1523"/>
      <c r="G192" s="1526"/>
      <c r="H192" s="1526"/>
      <c r="I192" s="1526"/>
      <c r="J192" s="1526"/>
      <c r="K192" s="1526">
        <f>SUM(C192:J192)</f>
        <v>15600</v>
      </c>
      <c r="L192" s="1526">
        <v>33706</v>
      </c>
      <c r="M192" s="1526"/>
      <c r="N192" s="1524">
        <f>+L192+M192</f>
        <v>33706</v>
      </c>
      <c r="O192" s="1527">
        <f>(+K192*12)+N192</f>
        <v>220906</v>
      </c>
      <c r="P192" s="1528">
        <f>+B192*O192</f>
        <v>220906</v>
      </c>
      <c r="Q192" s="1522">
        <v>1</v>
      </c>
      <c r="R192" s="1523">
        <v>15600</v>
      </c>
      <c r="S192" s="1524"/>
      <c r="T192" s="1523"/>
      <c r="U192" s="1526"/>
      <c r="V192" s="1526"/>
      <c r="W192" s="1526"/>
      <c r="X192" s="1526"/>
      <c r="Y192" s="1526"/>
      <c r="Z192" s="1526">
        <f>SUM(R192:Y192)</f>
        <v>15600</v>
      </c>
      <c r="AA192" s="1526">
        <v>33706</v>
      </c>
      <c r="AB192" s="1526"/>
      <c r="AC192" s="1524">
        <f>+AA192+AB192</f>
        <v>33706</v>
      </c>
      <c r="AD192" s="1527">
        <f>(+Z192*12)+AC192</f>
        <v>220906</v>
      </c>
      <c r="AE192" s="1528">
        <f>+Q192*AD192</f>
        <v>220906</v>
      </c>
      <c r="AF192" s="1528">
        <f>+B192-Q192</f>
        <v>0</v>
      </c>
      <c r="AG192" s="1523">
        <f>+AE192-P192</f>
        <v>0</v>
      </c>
      <c r="AH192" s="1529">
        <f>+Q192</f>
        <v>1</v>
      </c>
      <c r="AI192" s="1523">
        <f>+AE192</f>
        <v>220906</v>
      </c>
    </row>
    <row r="193" spans="1:35" s="734" customFormat="1" ht="15.95" customHeight="1">
      <c r="A193" s="1530" t="s">
        <v>752</v>
      </c>
      <c r="B193" s="1531">
        <v>1</v>
      </c>
      <c r="C193" s="1532">
        <v>14093</v>
      </c>
      <c r="D193" s="1533"/>
      <c r="E193" s="1534"/>
      <c r="F193" s="1532"/>
      <c r="G193" s="1535"/>
      <c r="H193" s="1535"/>
      <c r="I193" s="1535"/>
      <c r="J193" s="1535"/>
      <c r="K193" s="1535">
        <f>SUM(C193:J193)</f>
        <v>14093</v>
      </c>
      <c r="L193" s="1535">
        <v>30488.560000000001</v>
      </c>
      <c r="M193" s="1535"/>
      <c r="N193" s="1533">
        <f>+L193+M193</f>
        <v>30488.560000000001</v>
      </c>
      <c r="O193" s="1536">
        <f>(+K193*12)+N193</f>
        <v>199604.56</v>
      </c>
      <c r="P193" s="1537">
        <f>+B193*O193</f>
        <v>199604.56</v>
      </c>
      <c r="Q193" s="1531">
        <v>1</v>
      </c>
      <c r="R193" s="1532">
        <v>14093</v>
      </c>
      <c r="S193" s="1533"/>
      <c r="T193" s="1532"/>
      <c r="U193" s="1535"/>
      <c r="V193" s="1535"/>
      <c r="W193" s="1535"/>
      <c r="X193" s="1535"/>
      <c r="Y193" s="1535"/>
      <c r="Z193" s="1535">
        <f>SUM(R193:Y193)</f>
        <v>14093</v>
      </c>
      <c r="AA193" s="1535">
        <v>30488.560000000001</v>
      </c>
      <c r="AB193" s="1535"/>
      <c r="AC193" s="1533">
        <f>+AA193+AB193</f>
        <v>30488.560000000001</v>
      </c>
      <c r="AD193" s="1536">
        <f>(+Z193*12)+AC193</f>
        <v>199604.56</v>
      </c>
      <c r="AE193" s="1537">
        <f>+Q193*AD193</f>
        <v>199604.56</v>
      </c>
      <c r="AF193" s="1537">
        <f>+B193-Q193</f>
        <v>0</v>
      </c>
      <c r="AG193" s="1532">
        <f>+AE193-P193</f>
        <v>0</v>
      </c>
      <c r="AH193" s="1538">
        <f>+Q193</f>
        <v>1</v>
      </c>
      <c r="AI193" s="1532">
        <f>+AE193</f>
        <v>199604.56</v>
      </c>
    </row>
    <row r="194" spans="1:35" s="734" customFormat="1" ht="15.95" customHeight="1">
      <c r="A194" s="1530" t="s">
        <v>751</v>
      </c>
      <c r="B194" s="1531">
        <v>14</v>
      </c>
      <c r="C194" s="1532">
        <v>12093</v>
      </c>
      <c r="D194" s="1533"/>
      <c r="E194" s="1534"/>
      <c r="F194" s="1532"/>
      <c r="G194" s="1535"/>
      <c r="H194" s="1535"/>
      <c r="I194" s="1535"/>
      <c r="J194" s="1535"/>
      <c r="K194" s="1535">
        <f>SUM(C194:J194)</f>
        <v>12093</v>
      </c>
      <c r="L194" s="1535">
        <f>+K194*2</f>
        <v>24186</v>
      </c>
      <c r="M194" s="1535"/>
      <c r="N194" s="1533">
        <f>+L194+M194</f>
        <v>24186</v>
      </c>
      <c r="O194" s="1536">
        <f>(+K194*12)+N194</f>
        <v>169302</v>
      </c>
      <c r="P194" s="1537">
        <f>+B194*O194</f>
        <v>2370228</v>
      </c>
      <c r="Q194" s="1531">
        <v>14</v>
      </c>
      <c r="R194" s="1532">
        <v>12093</v>
      </c>
      <c r="S194" s="1533"/>
      <c r="T194" s="1532"/>
      <c r="U194" s="1535"/>
      <c r="V194" s="1535"/>
      <c r="W194" s="1535"/>
      <c r="X194" s="1535"/>
      <c r="Y194" s="1535"/>
      <c r="Z194" s="1535">
        <f>SUM(R194:Y194)</f>
        <v>12093</v>
      </c>
      <c r="AA194" s="1535">
        <v>26109.8</v>
      </c>
      <c r="AB194" s="1535"/>
      <c r="AC194" s="1533">
        <f>+AA194+AB194</f>
        <v>26109.8</v>
      </c>
      <c r="AD194" s="1536">
        <f>(+Z194*12)+AC194</f>
        <v>171225.8</v>
      </c>
      <c r="AE194" s="1537">
        <f>+Q194*AD194</f>
        <v>2397161.1999999997</v>
      </c>
      <c r="AF194" s="1537">
        <f>+B194-Q194</f>
        <v>0</v>
      </c>
      <c r="AG194" s="1532">
        <f>+AE194-P194</f>
        <v>26933.199999999721</v>
      </c>
      <c r="AH194" s="1538">
        <f>+Q194</f>
        <v>14</v>
      </c>
      <c r="AI194" s="1532">
        <f>+AE194</f>
        <v>2397161.1999999997</v>
      </c>
    </row>
    <row r="195" spans="1:35" s="734" customFormat="1" ht="15.95" customHeight="1">
      <c r="A195" s="1530" t="s">
        <v>750</v>
      </c>
      <c r="B195" s="1531">
        <v>6</v>
      </c>
      <c r="C195" s="1532">
        <v>10593</v>
      </c>
      <c r="D195" s="1533"/>
      <c r="E195" s="1534"/>
      <c r="F195" s="1532"/>
      <c r="G195" s="1535"/>
      <c r="H195" s="1535"/>
      <c r="I195" s="1535"/>
      <c r="J195" s="1535"/>
      <c r="K195" s="1535">
        <f>SUM(C195:J195)</f>
        <v>10593</v>
      </c>
      <c r="L195" s="1535">
        <v>23016.06</v>
      </c>
      <c r="M195" s="1535"/>
      <c r="N195" s="1533">
        <f>+L195+M195</f>
        <v>23016.06</v>
      </c>
      <c r="O195" s="1536">
        <f>(+K195*12)+N195</f>
        <v>150132.06</v>
      </c>
      <c r="P195" s="1537">
        <f>+B195*O195</f>
        <v>900792.36</v>
      </c>
      <c r="Q195" s="1531">
        <v>6</v>
      </c>
      <c r="R195" s="1532">
        <v>10593</v>
      </c>
      <c r="S195" s="1533"/>
      <c r="T195" s="1532"/>
      <c r="U195" s="1535"/>
      <c r="V195" s="1535"/>
      <c r="W195" s="1535"/>
      <c r="X195" s="1535"/>
      <c r="Y195" s="1535"/>
      <c r="Z195" s="1535">
        <f>SUM(R195:Y195)</f>
        <v>10593</v>
      </c>
      <c r="AA195" s="1535">
        <v>23016.06</v>
      </c>
      <c r="AB195" s="1535"/>
      <c r="AC195" s="1533">
        <f>+AA195+AB195</f>
        <v>23016.06</v>
      </c>
      <c r="AD195" s="1536">
        <f>(+Z195*12)+AC195</f>
        <v>150132.06</v>
      </c>
      <c r="AE195" s="1537">
        <f>+Q195*AD195</f>
        <v>900792.36</v>
      </c>
      <c r="AF195" s="1537">
        <f>+B195-Q195</f>
        <v>0</v>
      </c>
      <c r="AG195" s="1532">
        <f>+AE195-P195</f>
        <v>0</v>
      </c>
      <c r="AH195" s="1538">
        <f>+Q195</f>
        <v>6</v>
      </c>
      <c r="AI195" s="1532">
        <f>+AE195</f>
        <v>900792.36</v>
      </c>
    </row>
    <row r="196" spans="1:35" s="734" customFormat="1" ht="15.95" customHeight="1">
      <c r="A196" s="1530" t="s">
        <v>749</v>
      </c>
      <c r="B196" s="1531">
        <v>14</v>
      </c>
      <c r="C196" s="1532">
        <v>9593</v>
      </c>
      <c r="D196" s="1533"/>
      <c r="E196" s="1534"/>
      <c r="F196" s="1532"/>
      <c r="G196" s="1535"/>
      <c r="H196" s="1535"/>
      <c r="I196" s="1535"/>
      <c r="J196" s="1535"/>
      <c r="K196" s="1535">
        <f>SUM(C196:J196)</f>
        <v>9593</v>
      </c>
      <c r="L196" s="1535">
        <v>20881.060000000001</v>
      </c>
      <c r="M196" s="1535"/>
      <c r="N196" s="1533">
        <f>+L196+M196</f>
        <v>20881.060000000001</v>
      </c>
      <c r="O196" s="1536">
        <f>(+K196*12)+N196</f>
        <v>135997.06</v>
      </c>
      <c r="P196" s="1537">
        <f>+B196*O196</f>
        <v>1903958.8399999999</v>
      </c>
      <c r="Q196" s="1531">
        <v>14</v>
      </c>
      <c r="R196" s="1532">
        <v>9593</v>
      </c>
      <c r="S196" s="1533"/>
      <c r="T196" s="1532"/>
      <c r="U196" s="1535"/>
      <c r="V196" s="1535"/>
      <c r="W196" s="1535"/>
      <c r="X196" s="1535"/>
      <c r="Y196" s="1535"/>
      <c r="Z196" s="1535">
        <f>SUM(R196:Y196)</f>
        <v>9593</v>
      </c>
      <c r="AA196" s="1535">
        <v>20881.060000000001</v>
      </c>
      <c r="AB196" s="1535"/>
      <c r="AC196" s="1533">
        <f>+AA196+AB196</f>
        <v>20881.060000000001</v>
      </c>
      <c r="AD196" s="1536">
        <f>(+Z196*12)+AC196</f>
        <v>135997.06</v>
      </c>
      <c r="AE196" s="1537">
        <f>+Q196*AD196</f>
        <v>1903958.8399999999</v>
      </c>
      <c r="AF196" s="1537">
        <f>+B196-Q196</f>
        <v>0</v>
      </c>
      <c r="AG196" s="1532">
        <f>+AE196-P196</f>
        <v>0</v>
      </c>
      <c r="AH196" s="1538">
        <f>+Q196</f>
        <v>14</v>
      </c>
      <c r="AI196" s="1532">
        <f>+AE196</f>
        <v>1903958.8399999999</v>
      </c>
    </row>
    <row r="197" spans="1:35" s="734" customFormat="1" ht="18" customHeight="1">
      <c r="A197" s="1539"/>
      <c r="B197" s="1540"/>
      <c r="C197" s="1518"/>
      <c r="D197" s="1273"/>
      <c r="E197" s="1268"/>
      <c r="F197" s="1273"/>
      <c r="G197" s="1267"/>
      <c r="H197" s="1267"/>
      <c r="I197" s="1267"/>
      <c r="J197" s="1267"/>
      <c r="K197" s="1266"/>
      <c r="L197" s="1266"/>
      <c r="M197" s="1266"/>
      <c r="N197" s="1270"/>
      <c r="O197" s="1541"/>
      <c r="P197" s="1340"/>
      <c r="Q197" s="1540"/>
      <c r="R197" s="1519"/>
      <c r="S197" s="1270"/>
      <c r="T197" s="1519"/>
      <c r="U197" s="1266"/>
      <c r="V197" s="1266"/>
      <c r="W197" s="1266"/>
      <c r="X197" s="1266"/>
      <c r="Y197" s="1266"/>
      <c r="Z197" s="1266"/>
      <c r="AA197" s="1266"/>
      <c r="AB197" s="1266"/>
      <c r="AC197" s="1270"/>
      <c r="AD197" s="1271"/>
      <c r="AE197" s="1340"/>
      <c r="AF197" s="1340"/>
      <c r="AG197" s="1519"/>
      <c r="AH197" s="1272"/>
      <c r="AI197" s="1519"/>
    </row>
    <row r="198" spans="1:35" s="734" customFormat="1" ht="18" customHeight="1">
      <c r="A198" s="1520" t="s">
        <v>4</v>
      </c>
      <c r="B198" s="1551">
        <f>SUM(B199:B202)</f>
        <v>50</v>
      </c>
      <c r="C198" s="1550">
        <f t="shared" ref="C198:AI198" si="20">SUM(C199:C202)</f>
        <v>22442.300000000003</v>
      </c>
      <c r="D198" s="1546">
        <f t="shared" si="20"/>
        <v>0</v>
      </c>
      <c r="E198" s="1545">
        <f t="shared" si="20"/>
        <v>0</v>
      </c>
      <c r="F198" s="1546">
        <f t="shared" si="20"/>
        <v>0</v>
      </c>
      <c r="G198" s="1547">
        <f t="shared" si="20"/>
        <v>0</v>
      </c>
      <c r="H198" s="1547">
        <f t="shared" si="20"/>
        <v>0</v>
      </c>
      <c r="I198" s="1547">
        <f t="shared" si="20"/>
        <v>0</v>
      </c>
      <c r="J198" s="1547">
        <f t="shared" si="20"/>
        <v>0</v>
      </c>
      <c r="K198" s="1547">
        <f t="shared" si="20"/>
        <v>22442.300000000003</v>
      </c>
      <c r="L198" s="1547">
        <f t="shared" si="20"/>
        <v>47226.47</v>
      </c>
      <c r="M198" s="1547">
        <f t="shared" si="20"/>
        <v>21953.47</v>
      </c>
      <c r="N198" s="1545">
        <f t="shared" si="20"/>
        <v>69179.94</v>
      </c>
      <c r="O198" s="1548">
        <f t="shared" si="20"/>
        <v>338487.54000000004</v>
      </c>
      <c r="P198" s="1549">
        <f t="shared" si="20"/>
        <v>3879703.4700000007</v>
      </c>
      <c r="Q198" s="1551">
        <f t="shared" si="20"/>
        <v>50</v>
      </c>
      <c r="R198" s="1546">
        <f t="shared" si="20"/>
        <v>22442.300000000003</v>
      </c>
      <c r="S198" s="1545">
        <f t="shared" si="20"/>
        <v>0</v>
      </c>
      <c r="T198" s="1546">
        <f t="shared" si="20"/>
        <v>0</v>
      </c>
      <c r="U198" s="1547">
        <f t="shared" si="20"/>
        <v>0</v>
      </c>
      <c r="V198" s="1547">
        <f t="shared" si="20"/>
        <v>0</v>
      </c>
      <c r="W198" s="1547">
        <f t="shared" si="20"/>
        <v>0</v>
      </c>
      <c r="X198" s="1547">
        <f t="shared" si="20"/>
        <v>0</v>
      </c>
      <c r="Y198" s="1547">
        <f t="shared" si="20"/>
        <v>0</v>
      </c>
      <c r="Z198" s="1547">
        <f t="shared" si="20"/>
        <v>22442.300000000003</v>
      </c>
      <c r="AA198" s="1547">
        <f t="shared" si="20"/>
        <v>48418.62</v>
      </c>
      <c r="AB198" s="1547">
        <f t="shared" si="20"/>
        <v>47638.259999999995</v>
      </c>
      <c r="AC198" s="1545">
        <f t="shared" si="20"/>
        <v>96056.88</v>
      </c>
      <c r="AD198" s="1548">
        <f t="shared" si="20"/>
        <v>365364.47999999998</v>
      </c>
      <c r="AE198" s="1549">
        <f t="shared" si="20"/>
        <v>4717128.1000000006</v>
      </c>
      <c r="AF198" s="1549">
        <f t="shared" si="20"/>
        <v>0</v>
      </c>
      <c r="AG198" s="1546">
        <f t="shared" si="20"/>
        <v>837424.62999999942</v>
      </c>
      <c r="AH198" s="1549">
        <f t="shared" si="20"/>
        <v>50</v>
      </c>
      <c r="AI198" s="1546">
        <f t="shared" si="20"/>
        <v>4717128.1000000006</v>
      </c>
    </row>
    <row r="199" spans="1:35" s="734" customFormat="1" ht="15.95" customHeight="1">
      <c r="A199" s="1521" t="s">
        <v>758</v>
      </c>
      <c r="B199" s="1522">
        <v>18</v>
      </c>
      <c r="C199" s="1523">
        <v>6068.67</v>
      </c>
      <c r="D199" s="1524"/>
      <c r="E199" s="1525"/>
      <c r="F199" s="1523"/>
      <c r="G199" s="1526"/>
      <c r="H199" s="1526"/>
      <c r="I199" s="1526"/>
      <c r="J199" s="1526"/>
      <c r="K199" s="1526">
        <f>SUM(C199:J199)</f>
        <v>6068.67</v>
      </c>
      <c r="L199" s="1526">
        <v>12229.68</v>
      </c>
      <c r="M199" s="1526">
        <v>5540.83</v>
      </c>
      <c r="N199" s="1524">
        <f>+L199+M199</f>
        <v>17770.510000000002</v>
      </c>
      <c r="O199" s="1527">
        <f>(+K199*12)+N199</f>
        <v>90594.550000000017</v>
      </c>
      <c r="P199" s="1528">
        <f>+B199*O199</f>
        <v>1630701.9000000004</v>
      </c>
      <c r="Q199" s="1522">
        <v>18</v>
      </c>
      <c r="R199" s="1523">
        <v>6068.67</v>
      </c>
      <c r="S199" s="1524"/>
      <c r="T199" s="1523"/>
      <c r="U199" s="1526"/>
      <c r="V199" s="1526"/>
      <c r="W199" s="1526"/>
      <c r="X199" s="1526"/>
      <c r="Y199" s="1526"/>
      <c r="Z199" s="1526">
        <f>SUM(R199:Y199)</f>
        <v>6068.67</v>
      </c>
      <c r="AA199" s="1526">
        <v>12229.68</v>
      </c>
      <c r="AB199" s="1526">
        <v>12250</v>
      </c>
      <c r="AC199" s="1524">
        <f>+AA199+AB199</f>
        <v>24479.68</v>
      </c>
      <c r="AD199" s="1527">
        <f>(+Z199*12)+AC199</f>
        <v>97303.72</v>
      </c>
      <c r="AE199" s="1528">
        <f>+Q199*AD199</f>
        <v>1751466.96</v>
      </c>
      <c r="AF199" s="1528">
        <f>+B199-Q199</f>
        <v>0</v>
      </c>
      <c r="AG199" s="1523">
        <f>+AE199-P199</f>
        <v>120765.05999999959</v>
      </c>
      <c r="AH199" s="1529">
        <f>+Q199</f>
        <v>18</v>
      </c>
      <c r="AI199" s="1523">
        <f>+AE199</f>
        <v>1751466.96</v>
      </c>
    </row>
    <row r="200" spans="1:35" s="734" customFormat="1" ht="15.95" customHeight="1">
      <c r="A200" s="1530" t="s">
        <v>757</v>
      </c>
      <c r="B200" s="1531">
        <v>19</v>
      </c>
      <c r="C200" s="1532">
        <v>5863.3</v>
      </c>
      <c r="D200" s="1533"/>
      <c r="E200" s="1534"/>
      <c r="F200" s="1532"/>
      <c r="G200" s="1535"/>
      <c r="H200" s="1535"/>
      <c r="I200" s="1535"/>
      <c r="J200" s="1535"/>
      <c r="K200" s="1535">
        <f>+C200</f>
        <v>5863.3</v>
      </c>
      <c r="L200" s="1535">
        <v>11726</v>
      </c>
      <c r="M200" s="1535">
        <v>5887.68</v>
      </c>
      <c r="N200" s="1533">
        <f>+L200+M200</f>
        <v>17613.68</v>
      </c>
      <c r="O200" s="1536">
        <f>(+K200*12)+N200</f>
        <v>87973.28</v>
      </c>
      <c r="P200" s="1537">
        <f>18*O200</f>
        <v>1583519.04</v>
      </c>
      <c r="Q200" s="1531">
        <v>19</v>
      </c>
      <c r="R200" s="1532">
        <v>5863.3</v>
      </c>
      <c r="S200" s="1533"/>
      <c r="T200" s="1532"/>
      <c r="U200" s="1535"/>
      <c r="V200" s="1535"/>
      <c r="W200" s="1535"/>
      <c r="X200" s="1535"/>
      <c r="Y200" s="1535"/>
      <c r="Z200" s="1535">
        <f>+R200</f>
        <v>5863.3</v>
      </c>
      <c r="AA200" s="1535">
        <v>12918.15</v>
      </c>
      <c r="AB200" s="1535">
        <v>12863.3</v>
      </c>
      <c r="AC200" s="1533">
        <f>+AA200+AB200</f>
        <v>25781.449999999997</v>
      </c>
      <c r="AD200" s="1536">
        <f>(+Z200*12)+AC200</f>
        <v>96141.05</v>
      </c>
      <c r="AE200" s="1537">
        <f>+Q200*AD200</f>
        <v>1826679.95</v>
      </c>
      <c r="AF200" s="1537">
        <f>+B200-Q200</f>
        <v>0</v>
      </c>
      <c r="AG200" s="1532">
        <f>+AE200-P200</f>
        <v>243160.90999999992</v>
      </c>
      <c r="AH200" s="1538">
        <f>+Q200</f>
        <v>19</v>
      </c>
      <c r="AI200" s="1532">
        <f>+AE200</f>
        <v>1826679.95</v>
      </c>
    </row>
    <row r="201" spans="1:35" s="734" customFormat="1" ht="15.95" customHeight="1">
      <c r="A201" s="1530" t="s">
        <v>756</v>
      </c>
      <c r="B201" s="1531">
        <v>9</v>
      </c>
      <c r="C201" s="1532">
        <v>5540.83</v>
      </c>
      <c r="D201" s="1533"/>
      <c r="E201" s="1534"/>
      <c r="F201" s="1532"/>
      <c r="G201" s="1535"/>
      <c r="H201" s="1535"/>
      <c r="I201" s="1535"/>
      <c r="J201" s="1535"/>
      <c r="K201" s="1535">
        <f>+C201</f>
        <v>5540.83</v>
      </c>
      <c r="L201" s="1535">
        <v>12229.68</v>
      </c>
      <c r="M201" s="1535">
        <v>5540.83</v>
      </c>
      <c r="N201" s="1533">
        <f>+L201+M201</f>
        <v>17770.510000000002</v>
      </c>
      <c r="O201" s="1536">
        <f>(+K201*12)+N201</f>
        <v>84260.47</v>
      </c>
      <c r="P201" s="1537">
        <f>7*O201</f>
        <v>589823.29</v>
      </c>
      <c r="Q201" s="1531">
        <v>9</v>
      </c>
      <c r="R201" s="1532">
        <v>5540.83</v>
      </c>
      <c r="S201" s="1533"/>
      <c r="T201" s="1532"/>
      <c r="U201" s="1535"/>
      <c r="V201" s="1535"/>
      <c r="W201" s="1535"/>
      <c r="X201" s="1535"/>
      <c r="Y201" s="1535"/>
      <c r="Z201" s="1535">
        <f>+R201</f>
        <v>5540.83</v>
      </c>
      <c r="AA201" s="1535">
        <v>12229.68</v>
      </c>
      <c r="AB201" s="1535">
        <v>11540.83</v>
      </c>
      <c r="AC201" s="1533">
        <f>+AA201+AB201</f>
        <v>23770.510000000002</v>
      </c>
      <c r="AD201" s="1536">
        <f>(+Z201*12)+AC201</f>
        <v>90260.47</v>
      </c>
      <c r="AE201" s="1537">
        <f>+Q201*AD201</f>
        <v>812344.23</v>
      </c>
      <c r="AF201" s="1537">
        <f>+B201-Q201</f>
        <v>0</v>
      </c>
      <c r="AG201" s="1532">
        <f>+AE201-P201</f>
        <v>222520.93999999994</v>
      </c>
      <c r="AH201" s="1538">
        <f>+Q201</f>
        <v>9</v>
      </c>
      <c r="AI201" s="1532">
        <f>+AE201</f>
        <v>812344.23</v>
      </c>
    </row>
    <row r="202" spans="1:35" s="734" customFormat="1" ht="15.95" customHeight="1">
      <c r="A202" s="1530" t="s">
        <v>754</v>
      </c>
      <c r="B202" s="1531">
        <v>4</v>
      </c>
      <c r="C202" s="1532">
        <v>4969.5</v>
      </c>
      <c r="D202" s="1533"/>
      <c r="E202" s="1534"/>
      <c r="F202" s="1532"/>
      <c r="G202" s="1535"/>
      <c r="H202" s="1535"/>
      <c r="I202" s="1535"/>
      <c r="J202" s="1535"/>
      <c r="K202" s="1535">
        <f>SUM(C202:J202)</f>
        <v>4969.5</v>
      </c>
      <c r="L202" s="1535">
        <v>11041.11</v>
      </c>
      <c r="M202" s="1535">
        <v>4984.13</v>
      </c>
      <c r="N202" s="1533">
        <f>+L202+M202</f>
        <v>16025.240000000002</v>
      </c>
      <c r="O202" s="1536">
        <f>(+K202*12)+N202</f>
        <v>75659.240000000005</v>
      </c>
      <c r="P202" s="1537">
        <f>1*O202</f>
        <v>75659.240000000005</v>
      </c>
      <c r="Q202" s="1531">
        <v>4</v>
      </c>
      <c r="R202" s="1532">
        <v>4969.5</v>
      </c>
      <c r="S202" s="1533"/>
      <c r="T202" s="1532"/>
      <c r="U202" s="1535"/>
      <c r="V202" s="1535"/>
      <c r="W202" s="1535"/>
      <c r="X202" s="1535"/>
      <c r="Y202" s="1535"/>
      <c r="Z202" s="1535">
        <f>SUM(R202:Y202)</f>
        <v>4969.5</v>
      </c>
      <c r="AA202" s="1535">
        <v>11041.11</v>
      </c>
      <c r="AB202" s="1535">
        <v>10984.13</v>
      </c>
      <c r="AC202" s="1533">
        <f>+AA202+AB202</f>
        <v>22025.239999999998</v>
      </c>
      <c r="AD202" s="1536">
        <f>(+Z202*12)+AC202</f>
        <v>81659.239999999991</v>
      </c>
      <c r="AE202" s="1537">
        <f>+Q202*AD202</f>
        <v>326636.95999999996</v>
      </c>
      <c r="AF202" s="1537">
        <f>+B202-Q202</f>
        <v>0</v>
      </c>
      <c r="AG202" s="1532">
        <f>+AE202-P202</f>
        <v>250977.71999999997</v>
      </c>
      <c r="AH202" s="1538">
        <f>+Q202</f>
        <v>4</v>
      </c>
      <c r="AI202" s="1532">
        <f>+AE202</f>
        <v>326636.95999999996</v>
      </c>
    </row>
    <row r="203" spans="1:35" s="734" customFormat="1" ht="18" customHeight="1">
      <c r="A203" s="1542"/>
      <c r="B203" s="1540"/>
      <c r="C203" s="1518"/>
      <c r="D203" s="1273"/>
      <c r="E203" s="1268"/>
      <c r="F203" s="1273"/>
      <c r="G203" s="1267"/>
      <c r="H203" s="1267"/>
      <c r="I203" s="1267"/>
      <c r="J203" s="1267"/>
      <c r="K203" s="1266"/>
      <c r="L203" s="1266"/>
      <c r="M203" s="1266"/>
      <c r="N203" s="1270"/>
      <c r="O203" s="1541"/>
      <c r="P203" s="1340"/>
      <c r="Q203" s="1540"/>
      <c r="R203" s="1519"/>
      <c r="S203" s="1270"/>
      <c r="T203" s="1519"/>
      <c r="U203" s="1266"/>
      <c r="V203" s="1266"/>
      <c r="W203" s="1266"/>
      <c r="X203" s="1266"/>
      <c r="Y203" s="1266"/>
      <c r="Z203" s="1266"/>
      <c r="AA203" s="1266"/>
      <c r="AB203" s="1266"/>
      <c r="AC203" s="1270"/>
      <c r="AD203" s="1271"/>
      <c r="AE203" s="1340"/>
      <c r="AF203" s="1340"/>
      <c r="AG203" s="1519"/>
      <c r="AH203" s="1272"/>
      <c r="AI203" s="1519"/>
    </row>
    <row r="204" spans="1:35" s="734" customFormat="1" ht="18" customHeight="1">
      <c r="A204" s="1520" t="s">
        <v>5</v>
      </c>
      <c r="B204" s="1551">
        <f>SUM(B205:B209)</f>
        <v>35</v>
      </c>
      <c r="C204" s="1550">
        <f t="shared" ref="C204:AI204" si="21">SUM(C205:C209)</f>
        <v>19364.16</v>
      </c>
      <c r="D204" s="1546">
        <f t="shared" si="21"/>
        <v>0</v>
      </c>
      <c r="E204" s="1545">
        <f t="shared" si="21"/>
        <v>0</v>
      </c>
      <c r="F204" s="1546">
        <f t="shared" si="21"/>
        <v>0</v>
      </c>
      <c r="G204" s="1547">
        <f t="shared" si="21"/>
        <v>0</v>
      </c>
      <c r="H204" s="1547">
        <f t="shared" si="21"/>
        <v>0</v>
      </c>
      <c r="I204" s="1547">
        <f t="shared" si="21"/>
        <v>0</v>
      </c>
      <c r="J204" s="1547">
        <f t="shared" si="21"/>
        <v>0</v>
      </c>
      <c r="K204" s="1547">
        <f t="shared" si="21"/>
        <v>19364.16</v>
      </c>
      <c r="L204" s="1547">
        <f t="shared" si="21"/>
        <v>38591.9</v>
      </c>
      <c r="M204" s="1547">
        <f t="shared" si="21"/>
        <v>18863.45</v>
      </c>
      <c r="N204" s="1545">
        <f t="shared" si="21"/>
        <v>57455.35</v>
      </c>
      <c r="O204" s="1548">
        <f t="shared" si="21"/>
        <v>289825.27</v>
      </c>
      <c r="P204" s="1549">
        <f t="shared" si="21"/>
        <v>1051218.8600000001</v>
      </c>
      <c r="Q204" s="1551">
        <f t="shared" si="21"/>
        <v>35</v>
      </c>
      <c r="R204" s="1546">
        <f t="shared" si="21"/>
        <v>19364.16</v>
      </c>
      <c r="S204" s="1545">
        <f t="shared" si="21"/>
        <v>0</v>
      </c>
      <c r="T204" s="1546">
        <f t="shared" si="21"/>
        <v>0</v>
      </c>
      <c r="U204" s="1547">
        <f t="shared" si="21"/>
        <v>0</v>
      </c>
      <c r="V204" s="1547">
        <f t="shared" si="21"/>
        <v>0</v>
      </c>
      <c r="W204" s="1547">
        <f t="shared" si="21"/>
        <v>0</v>
      </c>
      <c r="X204" s="1547">
        <f t="shared" si="21"/>
        <v>0</v>
      </c>
      <c r="Y204" s="1547">
        <f t="shared" si="21"/>
        <v>0</v>
      </c>
      <c r="Z204" s="1547">
        <f t="shared" si="21"/>
        <v>19364.16</v>
      </c>
      <c r="AA204" s="1547">
        <f t="shared" si="21"/>
        <v>41064.53</v>
      </c>
      <c r="AB204" s="1547">
        <f t="shared" si="21"/>
        <v>34364.160000000003</v>
      </c>
      <c r="AC204" s="1545">
        <f t="shared" si="21"/>
        <v>75428.69</v>
      </c>
      <c r="AD204" s="1548">
        <f t="shared" si="21"/>
        <v>307798.61</v>
      </c>
      <c r="AE204" s="1549">
        <f t="shared" si="21"/>
        <v>2164663.3199999998</v>
      </c>
      <c r="AF204" s="1549">
        <f t="shared" si="21"/>
        <v>0</v>
      </c>
      <c r="AG204" s="1546">
        <f t="shared" si="21"/>
        <v>1113444.46</v>
      </c>
      <c r="AH204" s="1549">
        <f t="shared" si="21"/>
        <v>35</v>
      </c>
      <c r="AI204" s="1546">
        <f t="shared" si="21"/>
        <v>2164663.3199999998</v>
      </c>
    </row>
    <row r="205" spans="1:35" s="734" customFormat="1" ht="15.95" customHeight="1">
      <c r="A205" s="1521" t="s">
        <v>769</v>
      </c>
      <c r="B205" s="1522">
        <v>7</v>
      </c>
      <c r="C205" s="1523">
        <v>4683.71</v>
      </c>
      <c r="D205" s="1524"/>
      <c r="E205" s="1525"/>
      <c r="F205" s="1523"/>
      <c r="G205" s="1526"/>
      <c r="H205" s="1526"/>
      <c r="I205" s="1526"/>
      <c r="J205" s="1526"/>
      <c r="K205" s="1526">
        <f>+C205</f>
        <v>4683.71</v>
      </c>
      <c r="L205" s="1526">
        <v>7800</v>
      </c>
      <c r="M205" s="1526">
        <v>4183</v>
      </c>
      <c r="N205" s="1524">
        <f>+L205+M205</f>
        <v>11983</v>
      </c>
      <c r="O205" s="1527">
        <f>(+K205*12)+N205</f>
        <v>68187.520000000004</v>
      </c>
      <c r="P205" s="1528">
        <f>5*O205</f>
        <v>340937.60000000003</v>
      </c>
      <c r="Q205" s="1522">
        <v>7</v>
      </c>
      <c r="R205" s="1523">
        <v>4683.71</v>
      </c>
      <c r="S205" s="1524"/>
      <c r="T205" s="1523"/>
      <c r="U205" s="1526"/>
      <c r="V205" s="1526"/>
      <c r="W205" s="1526"/>
      <c r="X205" s="1526"/>
      <c r="Y205" s="1526"/>
      <c r="Z205" s="1526">
        <f>+R205</f>
        <v>4683.71</v>
      </c>
      <c r="AA205" s="1526">
        <v>10349.73</v>
      </c>
      <c r="AB205" s="1526">
        <v>7683.71</v>
      </c>
      <c r="AC205" s="1524">
        <f>+AA205+AB205</f>
        <v>18033.439999999999</v>
      </c>
      <c r="AD205" s="1527">
        <f>(+Z205*12)+AC205</f>
        <v>74237.960000000006</v>
      </c>
      <c r="AE205" s="1528">
        <f>+Q205*AD205</f>
        <v>519665.72000000003</v>
      </c>
      <c r="AF205" s="1528">
        <f>+B205-Q205</f>
        <v>0</v>
      </c>
      <c r="AG205" s="1523">
        <f>+AE205-P205</f>
        <v>178728.12</v>
      </c>
      <c r="AH205" s="1529">
        <f>+Q205</f>
        <v>7</v>
      </c>
      <c r="AI205" s="1523">
        <f>+AE205</f>
        <v>519665.72000000003</v>
      </c>
    </row>
    <row r="206" spans="1:35" s="734" customFormat="1" ht="15.95" customHeight="1">
      <c r="A206" s="1530" t="s">
        <v>768</v>
      </c>
      <c r="B206" s="1531">
        <v>9</v>
      </c>
      <c r="C206" s="1532">
        <v>3991.69</v>
      </c>
      <c r="D206" s="1533"/>
      <c r="E206" s="1534"/>
      <c r="F206" s="1532"/>
      <c r="G206" s="1535"/>
      <c r="H206" s="1535"/>
      <c r="I206" s="1535"/>
      <c r="J206" s="1535"/>
      <c r="K206" s="1535">
        <f>+C206</f>
        <v>3991.69</v>
      </c>
      <c r="L206" s="1535">
        <v>8250</v>
      </c>
      <c r="M206" s="1535">
        <v>3991.69</v>
      </c>
      <c r="N206" s="1533">
        <f>+L206+M206</f>
        <v>12241.69</v>
      </c>
      <c r="O206" s="1536">
        <f>(+K206*12)+N206</f>
        <v>60141.97</v>
      </c>
      <c r="P206" s="1537">
        <f>2*O206</f>
        <v>120283.94</v>
      </c>
      <c r="Q206" s="1531">
        <v>9</v>
      </c>
      <c r="R206" s="1532">
        <v>3991.69</v>
      </c>
      <c r="S206" s="1533"/>
      <c r="T206" s="1532"/>
      <c r="U206" s="1535"/>
      <c r="V206" s="1535"/>
      <c r="W206" s="1535"/>
      <c r="X206" s="1535"/>
      <c r="Y206" s="1535"/>
      <c r="Z206" s="1535">
        <f>+R206</f>
        <v>3991.69</v>
      </c>
      <c r="AA206" s="1535">
        <v>8929.6200000000008</v>
      </c>
      <c r="AB206" s="1535">
        <v>6991.69</v>
      </c>
      <c r="AC206" s="1533">
        <f>+AA206+AB206</f>
        <v>15921.310000000001</v>
      </c>
      <c r="AD206" s="1536">
        <f>(+Z206*12)+AC206</f>
        <v>63821.59</v>
      </c>
      <c r="AE206" s="1537">
        <f>+Q206*AD206</f>
        <v>574394.30999999994</v>
      </c>
      <c r="AF206" s="1537">
        <f>+B206-Q206</f>
        <v>0</v>
      </c>
      <c r="AG206" s="1532">
        <f>+AE206-P206</f>
        <v>454110.36999999994</v>
      </c>
      <c r="AH206" s="1538">
        <f>+Q206</f>
        <v>9</v>
      </c>
      <c r="AI206" s="1532">
        <f>+AE206</f>
        <v>574394.30999999994</v>
      </c>
    </row>
    <row r="207" spans="1:35" s="734" customFormat="1" ht="15.95" customHeight="1">
      <c r="A207" s="1530" t="s">
        <v>767</v>
      </c>
      <c r="B207" s="1531">
        <v>6</v>
      </c>
      <c r="C207" s="1532">
        <v>3666.6</v>
      </c>
      <c r="D207" s="1533"/>
      <c r="E207" s="1534"/>
      <c r="F207" s="1532"/>
      <c r="G207" s="1535"/>
      <c r="H207" s="1535"/>
      <c r="I207" s="1535"/>
      <c r="J207" s="1535"/>
      <c r="K207" s="1535">
        <f>+C207</f>
        <v>3666.6</v>
      </c>
      <c r="L207" s="1535">
        <v>8320</v>
      </c>
      <c r="M207" s="1535">
        <v>3666.6</v>
      </c>
      <c r="N207" s="1533">
        <f>+L207+M207</f>
        <v>11986.6</v>
      </c>
      <c r="O207" s="1536">
        <f>(+K207*12)+N207</f>
        <v>55985.799999999996</v>
      </c>
      <c r="P207" s="1537">
        <f>3*O207</f>
        <v>167957.4</v>
      </c>
      <c r="Q207" s="1531">
        <v>6</v>
      </c>
      <c r="R207" s="1532">
        <v>3666.6</v>
      </c>
      <c r="S207" s="1533"/>
      <c r="T207" s="1532"/>
      <c r="U207" s="1535"/>
      <c r="V207" s="1535"/>
      <c r="W207" s="1535"/>
      <c r="X207" s="1535"/>
      <c r="Y207" s="1535"/>
      <c r="Z207" s="1535">
        <f>+R207</f>
        <v>3666.6</v>
      </c>
      <c r="AA207" s="1535">
        <v>5992.71</v>
      </c>
      <c r="AB207" s="1535">
        <v>6666.6</v>
      </c>
      <c r="AC207" s="1533">
        <f>+AA207+AB207</f>
        <v>12659.310000000001</v>
      </c>
      <c r="AD207" s="1536">
        <f>(+Z207*12)+AC207</f>
        <v>56658.509999999995</v>
      </c>
      <c r="AE207" s="1537">
        <f>+Q207*AD207</f>
        <v>339951.05999999994</v>
      </c>
      <c r="AF207" s="1537">
        <f>+B207-Q207</f>
        <v>0</v>
      </c>
      <c r="AG207" s="1532">
        <f>+AE207-P207</f>
        <v>171993.65999999995</v>
      </c>
      <c r="AH207" s="1538">
        <f>+Q207</f>
        <v>6</v>
      </c>
      <c r="AI207" s="1532">
        <f>+AE207</f>
        <v>339951.05999999994</v>
      </c>
    </row>
    <row r="208" spans="1:35" s="734" customFormat="1" ht="15.95" customHeight="1">
      <c r="A208" s="1530" t="s">
        <v>766</v>
      </c>
      <c r="B208" s="1531">
        <v>5</v>
      </c>
      <c r="C208" s="1532">
        <v>3607.36</v>
      </c>
      <c r="D208" s="1533"/>
      <c r="E208" s="1534"/>
      <c r="F208" s="1532"/>
      <c r="G208" s="1535"/>
      <c r="H208" s="1535"/>
      <c r="I208" s="1535"/>
      <c r="J208" s="1535"/>
      <c r="K208" s="1535">
        <f>+C208</f>
        <v>3607.36</v>
      </c>
      <c r="L208" s="1535">
        <v>7392.3</v>
      </c>
      <c r="M208" s="1535">
        <v>3607.36</v>
      </c>
      <c r="N208" s="1533">
        <f>+L208+M208</f>
        <v>10999.66</v>
      </c>
      <c r="O208" s="1536">
        <f>(+K208*12)+N208</f>
        <v>54287.979999999996</v>
      </c>
      <c r="P208" s="1537">
        <f>4*O208</f>
        <v>217151.91999999998</v>
      </c>
      <c r="Q208" s="1531">
        <v>5</v>
      </c>
      <c r="R208" s="1532">
        <v>3607.36</v>
      </c>
      <c r="S208" s="1533"/>
      <c r="T208" s="1532"/>
      <c r="U208" s="1535"/>
      <c r="V208" s="1535"/>
      <c r="W208" s="1535"/>
      <c r="X208" s="1535"/>
      <c r="Y208" s="1535"/>
      <c r="Z208" s="1535">
        <f>+R208</f>
        <v>3607.36</v>
      </c>
      <c r="AA208" s="1535">
        <v>8101.71</v>
      </c>
      <c r="AB208" s="1535">
        <v>6607.36</v>
      </c>
      <c r="AC208" s="1533">
        <f>+AA208+AB208</f>
        <v>14709.07</v>
      </c>
      <c r="AD208" s="1536">
        <f>(+Z208*12)+AC208</f>
        <v>57997.39</v>
      </c>
      <c r="AE208" s="1537">
        <f>+Q208*AD208</f>
        <v>289986.95</v>
      </c>
      <c r="AF208" s="1537">
        <f>+B208-Q208</f>
        <v>0</v>
      </c>
      <c r="AG208" s="1532">
        <f>+AE208-P208</f>
        <v>72835.030000000028</v>
      </c>
      <c r="AH208" s="1538">
        <f>+Q208</f>
        <v>5</v>
      </c>
      <c r="AI208" s="1532">
        <f>+AE208</f>
        <v>289986.95</v>
      </c>
    </row>
    <row r="209" spans="1:35" s="734" customFormat="1" ht="15.95" customHeight="1">
      <c r="A209" s="1530" t="s">
        <v>1324</v>
      </c>
      <c r="B209" s="1531">
        <v>8</v>
      </c>
      <c r="C209" s="1532">
        <v>3414.8</v>
      </c>
      <c r="D209" s="1533"/>
      <c r="E209" s="1534"/>
      <c r="F209" s="1532"/>
      <c r="G209" s="1535"/>
      <c r="H209" s="1535"/>
      <c r="I209" s="1535"/>
      <c r="J209" s="1535"/>
      <c r="K209" s="1535">
        <f>+C209</f>
        <v>3414.8</v>
      </c>
      <c r="L209" s="1535">
        <f>+K209*2</f>
        <v>6829.6</v>
      </c>
      <c r="M209" s="1535">
        <v>3414.8</v>
      </c>
      <c r="N209" s="1533">
        <f>+L209+M209</f>
        <v>10244.400000000001</v>
      </c>
      <c r="O209" s="1536">
        <f>(+K209*12)+N209</f>
        <v>51222.000000000007</v>
      </c>
      <c r="P209" s="1537">
        <f>4*O209</f>
        <v>204888.00000000003</v>
      </c>
      <c r="Q209" s="1531">
        <v>8</v>
      </c>
      <c r="R209" s="1532">
        <v>3414.8</v>
      </c>
      <c r="S209" s="1533"/>
      <c r="T209" s="1532"/>
      <c r="U209" s="1535"/>
      <c r="V209" s="1535"/>
      <c r="W209" s="1535"/>
      <c r="X209" s="1535"/>
      <c r="Y209" s="1535"/>
      <c r="Z209" s="1535">
        <f>+R209</f>
        <v>3414.8</v>
      </c>
      <c r="AA209" s="1535">
        <v>7690.76</v>
      </c>
      <c r="AB209" s="1535">
        <v>6414.8</v>
      </c>
      <c r="AC209" s="1533">
        <f>+AA209+AB209</f>
        <v>14105.560000000001</v>
      </c>
      <c r="AD209" s="1536">
        <f>(+Z209*12)+AC209</f>
        <v>55083.16</v>
      </c>
      <c r="AE209" s="1537">
        <f>+Q209*AD209</f>
        <v>440665.28</v>
      </c>
      <c r="AF209" s="1537">
        <f>+B209-Q209</f>
        <v>0</v>
      </c>
      <c r="AG209" s="1532">
        <f>+AE209-P209</f>
        <v>235777.28</v>
      </c>
      <c r="AH209" s="1538">
        <f>+Q209</f>
        <v>8</v>
      </c>
      <c r="AI209" s="1532">
        <f>+AE209</f>
        <v>440665.28</v>
      </c>
    </row>
    <row r="210" spans="1:35" s="734" customFormat="1" ht="12.75">
      <c r="A210" s="1542"/>
      <c r="B210" s="1540"/>
      <c r="C210" s="1519"/>
      <c r="D210" s="1270"/>
      <c r="E210" s="1518"/>
      <c r="F210" s="1519"/>
      <c r="G210" s="1266"/>
      <c r="H210" s="1266"/>
      <c r="I210" s="1266"/>
      <c r="J210" s="1266"/>
      <c r="K210" s="1266"/>
      <c r="L210" s="1266"/>
      <c r="M210" s="1266"/>
      <c r="N210" s="1270"/>
      <c r="O210" s="1271"/>
      <c r="P210" s="1340"/>
      <c r="Q210" s="1540"/>
      <c r="R210" s="1519"/>
      <c r="S210" s="1270"/>
      <c r="T210" s="1519"/>
      <c r="U210" s="1266"/>
      <c r="V210" s="1266"/>
      <c r="W210" s="1266"/>
      <c r="X210" s="1266"/>
      <c r="Y210" s="1266"/>
      <c r="Z210" s="1266"/>
      <c r="AA210" s="1266"/>
      <c r="AB210" s="1266"/>
      <c r="AC210" s="1270"/>
      <c r="AD210" s="1271"/>
      <c r="AE210" s="1340"/>
      <c r="AF210" s="1340"/>
      <c r="AG210" s="1519"/>
      <c r="AH210" s="1272"/>
      <c r="AI210" s="1519"/>
    </row>
    <row r="211" spans="1:35" s="1543" customFormat="1" ht="20.25" customHeight="1">
      <c r="A211" s="1520" t="s">
        <v>6</v>
      </c>
      <c r="B211" s="1551">
        <f>SUM(B212)</f>
        <v>1</v>
      </c>
      <c r="C211" s="1546">
        <f t="shared" ref="C211:AI211" si="22">SUM(C212)</f>
        <v>2925</v>
      </c>
      <c r="D211" s="1545">
        <f t="shared" si="22"/>
        <v>0</v>
      </c>
      <c r="E211" s="1550">
        <f t="shared" si="22"/>
        <v>0</v>
      </c>
      <c r="F211" s="1546">
        <f t="shared" si="22"/>
        <v>0</v>
      </c>
      <c r="G211" s="1547">
        <f t="shared" si="22"/>
        <v>0</v>
      </c>
      <c r="H211" s="1547">
        <f t="shared" si="22"/>
        <v>0</v>
      </c>
      <c r="I211" s="1547">
        <f t="shared" si="22"/>
        <v>0</v>
      </c>
      <c r="J211" s="1547">
        <f t="shared" si="22"/>
        <v>0</v>
      </c>
      <c r="K211" s="1547">
        <f t="shared" si="22"/>
        <v>2925</v>
      </c>
      <c r="L211" s="1547">
        <f t="shared" si="22"/>
        <v>6644.88</v>
      </c>
      <c r="M211" s="1547">
        <f t="shared" si="22"/>
        <v>2925</v>
      </c>
      <c r="N211" s="1545">
        <f t="shared" si="22"/>
        <v>9569.880000000001</v>
      </c>
      <c r="O211" s="1548">
        <f t="shared" si="22"/>
        <v>44669.880000000005</v>
      </c>
      <c r="P211" s="1549">
        <f t="shared" si="22"/>
        <v>44669.91</v>
      </c>
      <c r="Q211" s="1551">
        <f t="shared" si="22"/>
        <v>1</v>
      </c>
      <c r="R211" s="1546">
        <f t="shared" si="22"/>
        <v>2925</v>
      </c>
      <c r="S211" s="1545">
        <f t="shared" si="22"/>
        <v>0</v>
      </c>
      <c r="T211" s="1546">
        <f t="shared" si="22"/>
        <v>0</v>
      </c>
      <c r="U211" s="1547">
        <f t="shared" si="22"/>
        <v>0</v>
      </c>
      <c r="V211" s="1547">
        <f t="shared" si="22"/>
        <v>0</v>
      </c>
      <c r="W211" s="1547">
        <f t="shared" si="22"/>
        <v>0</v>
      </c>
      <c r="X211" s="1547">
        <f t="shared" si="22"/>
        <v>0</v>
      </c>
      <c r="Y211" s="1547">
        <f t="shared" si="22"/>
        <v>0</v>
      </c>
      <c r="Z211" s="1547">
        <f t="shared" si="22"/>
        <v>2925</v>
      </c>
      <c r="AA211" s="1547">
        <f t="shared" si="22"/>
        <v>6644.88</v>
      </c>
      <c r="AB211" s="1547">
        <f t="shared" si="22"/>
        <v>2925</v>
      </c>
      <c r="AC211" s="1545">
        <f t="shared" si="22"/>
        <v>9569.880000000001</v>
      </c>
      <c r="AD211" s="1548">
        <f t="shared" si="22"/>
        <v>44669.880000000005</v>
      </c>
      <c r="AE211" s="1549">
        <f t="shared" si="22"/>
        <v>44669.91</v>
      </c>
      <c r="AF211" s="1549">
        <f t="shared" si="22"/>
        <v>0</v>
      </c>
      <c r="AG211" s="1546">
        <f t="shared" si="22"/>
        <v>0</v>
      </c>
      <c r="AH211" s="1549">
        <f t="shared" si="22"/>
        <v>1</v>
      </c>
      <c r="AI211" s="1546">
        <f t="shared" si="22"/>
        <v>44669.91</v>
      </c>
    </row>
    <row r="212" spans="1:35" s="734" customFormat="1" ht="15.95" customHeight="1">
      <c r="A212" s="1521" t="s">
        <v>773</v>
      </c>
      <c r="B212" s="1544">
        <v>1</v>
      </c>
      <c r="C212" s="1523">
        <v>2925</v>
      </c>
      <c r="D212" s="1524"/>
      <c r="E212" s="1525"/>
      <c r="F212" s="1523"/>
      <c r="G212" s="1526"/>
      <c r="H212" s="1526"/>
      <c r="I212" s="1526"/>
      <c r="J212" s="1526"/>
      <c r="K212" s="1526">
        <f>+C212</f>
        <v>2925</v>
      </c>
      <c r="L212" s="1526">
        <v>6644.88</v>
      </c>
      <c r="M212" s="1526">
        <v>2925</v>
      </c>
      <c r="N212" s="1524">
        <f>+L212+M212</f>
        <v>9569.880000000001</v>
      </c>
      <c r="O212" s="1527">
        <f>(+K212*12)+N212</f>
        <v>44669.880000000005</v>
      </c>
      <c r="P212" s="1528">
        <f>+B212*O212+0.03</f>
        <v>44669.91</v>
      </c>
      <c r="Q212" s="1544">
        <v>1</v>
      </c>
      <c r="R212" s="1523">
        <v>2925</v>
      </c>
      <c r="S212" s="1524"/>
      <c r="T212" s="1523"/>
      <c r="U212" s="1526"/>
      <c r="V212" s="1526"/>
      <c r="W212" s="1526"/>
      <c r="X212" s="1526"/>
      <c r="Y212" s="1526"/>
      <c r="Z212" s="1526">
        <f>+R212</f>
        <v>2925</v>
      </c>
      <c r="AA212" s="1526">
        <v>6644.88</v>
      </c>
      <c r="AB212" s="1526">
        <v>2925</v>
      </c>
      <c r="AC212" s="1524">
        <f>+AA212+AB212</f>
        <v>9569.880000000001</v>
      </c>
      <c r="AD212" s="1527">
        <f>(+Z212*12)+AC212</f>
        <v>44669.880000000005</v>
      </c>
      <c r="AE212" s="1528">
        <f>+Q212*AD212+0.03</f>
        <v>44669.91</v>
      </c>
      <c r="AF212" s="1528">
        <f>+B212-Q212</f>
        <v>0</v>
      </c>
      <c r="AG212" s="1523">
        <f>+AE212-P212</f>
        <v>0</v>
      </c>
      <c r="AH212" s="1529">
        <f>+Q212</f>
        <v>1</v>
      </c>
      <c r="AI212" s="1523">
        <f>+AE212</f>
        <v>44669.91</v>
      </c>
    </row>
    <row r="213" spans="1:35" s="734" customFormat="1" ht="12.75">
      <c r="A213" s="1273"/>
      <c r="B213" s="1273"/>
      <c r="C213" s="1268"/>
      <c r="D213" s="1273"/>
      <c r="E213" s="1268"/>
      <c r="F213" s="1273"/>
      <c r="G213" s="1267"/>
      <c r="H213" s="1267"/>
      <c r="I213" s="1267"/>
      <c r="J213" s="1267"/>
      <c r="K213" s="1267"/>
      <c r="L213" s="1267"/>
      <c r="M213" s="1267"/>
      <c r="N213" s="1268"/>
      <c r="O213" s="1271"/>
      <c r="P213" s="1272"/>
      <c r="Q213" s="1273"/>
      <c r="R213" s="1268"/>
      <c r="S213" s="1518"/>
      <c r="T213" s="1519"/>
      <c r="U213" s="1266"/>
      <c r="V213" s="1266"/>
      <c r="W213" s="1266"/>
      <c r="X213" s="1266"/>
      <c r="Y213" s="1266"/>
      <c r="Z213" s="1266"/>
      <c r="AA213" s="1266"/>
      <c r="AB213" s="1266"/>
      <c r="AC213" s="1270"/>
      <c r="AD213" s="1271"/>
      <c r="AE213" s="1340"/>
      <c r="AF213" s="1272"/>
      <c r="AG213" s="1273"/>
      <c r="AH213" s="1272"/>
      <c r="AI213" s="1273"/>
    </row>
    <row r="214" spans="1:35" s="734" customFormat="1" ht="21" customHeight="1" thickBot="1">
      <c r="A214" s="1552" t="s">
        <v>0</v>
      </c>
      <c r="B214" s="1553">
        <f>SUM(B192:B212)</f>
        <v>208</v>
      </c>
      <c r="C214" s="1554">
        <f>SUM(C192:C212)</f>
        <v>151434.91999999998</v>
      </c>
      <c r="D214" s="1553"/>
      <c r="E214" s="1555"/>
      <c r="F214" s="1556"/>
      <c r="G214" s="1556"/>
      <c r="H214" s="1556"/>
      <c r="I214" s="1556"/>
      <c r="J214" s="1556"/>
      <c r="K214" s="1557">
        <f t="shared" ref="K214:P214" si="23">SUM(K192:K212)</f>
        <v>151434.91999999998</v>
      </c>
      <c r="L214" s="1557">
        <f t="shared" si="23"/>
        <v>317204.18</v>
      </c>
      <c r="M214" s="1557">
        <f t="shared" si="23"/>
        <v>87483.840000000011</v>
      </c>
      <c r="N214" s="1558">
        <f t="shared" si="23"/>
        <v>404688.01999999996</v>
      </c>
      <c r="O214" s="1559">
        <f t="shared" si="23"/>
        <v>2221907.06</v>
      </c>
      <c r="P214" s="1560">
        <f t="shared" si="23"/>
        <v>15546674.24</v>
      </c>
      <c r="Q214" s="1553">
        <f>SUM(Q192:Q213)</f>
        <v>208</v>
      </c>
      <c r="R214" s="1554">
        <f>SUM(R192:R212)</f>
        <v>151434.91999999998</v>
      </c>
      <c r="S214" s="1553"/>
      <c r="T214" s="1555"/>
      <c r="U214" s="1556"/>
      <c r="V214" s="1556"/>
      <c r="W214" s="1556"/>
      <c r="X214" s="1556"/>
      <c r="Y214" s="1556"/>
      <c r="Z214" s="1557">
        <f t="shared" ref="Z214:AI214" si="24">SUM(Z192:Z212)</f>
        <v>151434.91999999998</v>
      </c>
      <c r="AA214" s="1557">
        <f t="shared" si="24"/>
        <v>326457.54000000004</v>
      </c>
      <c r="AB214" s="1557">
        <f t="shared" si="24"/>
        <v>169854.84</v>
      </c>
      <c r="AC214" s="1557">
        <f t="shared" si="24"/>
        <v>496312.38</v>
      </c>
      <c r="AD214" s="1559">
        <f t="shared" si="24"/>
        <v>2313531.42</v>
      </c>
      <c r="AE214" s="1560">
        <f t="shared" si="24"/>
        <v>19475345.619999997</v>
      </c>
      <c r="AF214" s="1560">
        <f t="shared" si="24"/>
        <v>0</v>
      </c>
      <c r="AG214" s="1560">
        <f t="shared" si="24"/>
        <v>3928671.3799999985</v>
      </c>
      <c r="AH214" s="1560">
        <f t="shared" si="24"/>
        <v>208</v>
      </c>
      <c r="AI214" s="1560">
        <f t="shared" si="24"/>
        <v>19475345.619999997</v>
      </c>
    </row>
    <row r="215" spans="1:35">
      <c r="A215" s="1257" t="s">
        <v>68</v>
      </c>
      <c r="B215" s="1259"/>
      <c r="C215" s="1255"/>
    </row>
    <row r="216" spans="1:35">
      <c r="A216" s="1255" t="s">
        <v>69</v>
      </c>
      <c r="B216" s="1258" t="s">
        <v>157</v>
      </c>
      <c r="C216" s="1257"/>
    </row>
    <row r="217" spans="1:35">
      <c r="A217" s="1255" t="s">
        <v>70</v>
      </c>
      <c r="B217" s="1256" t="s">
        <v>71</v>
      </c>
      <c r="C217" s="1255"/>
    </row>
    <row r="218" spans="1:35">
      <c r="A218" s="1255" t="s">
        <v>72</v>
      </c>
      <c r="B218" s="1256" t="s">
        <v>73</v>
      </c>
      <c r="C218" s="1255"/>
    </row>
    <row r="219" spans="1:35">
      <c r="A219" s="1255" t="s">
        <v>74</v>
      </c>
      <c r="B219" s="1256" t="s">
        <v>75</v>
      </c>
      <c r="C219" s="1255"/>
    </row>
    <row r="220" spans="1:35">
      <c r="A220" s="1255"/>
      <c r="B220" s="1256" t="s">
        <v>76</v>
      </c>
      <c r="C220" s="1255"/>
    </row>
    <row r="221" spans="1:35">
      <c r="A221" s="1256" t="s">
        <v>77</v>
      </c>
      <c r="B221" s="1256" t="s">
        <v>1328</v>
      </c>
      <c r="C221" s="1255"/>
    </row>
    <row r="222" spans="1:35">
      <c r="A222" s="1256"/>
      <c r="B222" s="1256" t="s">
        <v>78</v>
      </c>
      <c r="C222" s="1255"/>
    </row>
    <row r="223" spans="1:35">
      <c r="A223" s="1256"/>
      <c r="B223" s="1256" t="s">
        <v>79</v>
      </c>
      <c r="C223" s="1255"/>
    </row>
    <row r="224" spans="1:35">
      <c r="A224" s="1255"/>
      <c r="B224" s="1256" t="s">
        <v>80</v>
      </c>
      <c r="C224" s="1255"/>
    </row>
    <row r="225" spans="1:3">
      <c r="A225" s="1255" t="s">
        <v>182</v>
      </c>
      <c r="B225" s="1256" t="s">
        <v>183</v>
      </c>
      <c r="C225" s="1255"/>
    </row>
    <row r="226" spans="1:3">
      <c r="A226" s="1255" t="s">
        <v>184</v>
      </c>
      <c r="B226" s="1256" t="s">
        <v>153</v>
      </c>
      <c r="C226" s="1255"/>
    </row>
    <row r="227" spans="1:3">
      <c r="A227" s="1255" t="s">
        <v>185</v>
      </c>
      <c r="B227" s="1256" t="s">
        <v>1329</v>
      </c>
      <c r="C227" s="1255"/>
    </row>
    <row r="228" spans="1:3">
      <c r="A228" s="1255"/>
      <c r="B228" s="1256" t="s">
        <v>78</v>
      </c>
      <c r="C228" s="1255"/>
    </row>
    <row r="229" spans="1:3">
      <c r="A229" s="1255"/>
      <c r="B229" s="1256" t="s">
        <v>79</v>
      </c>
      <c r="C229" s="1255"/>
    </row>
    <row r="230" spans="1:3">
      <c r="A230" s="1255"/>
      <c r="B230" s="1256" t="s">
        <v>117</v>
      </c>
      <c r="C230" s="1255"/>
    </row>
    <row r="231" spans="1:3">
      <c r="A231" s="1255" t="s">
        <v>194</v>
      </c>
      <c r="B231" s="1256" t="s">
        <v>195</v>
      </c>
      <c r="C231" s="1255"/>
    </row>
    <row r="232" spans="1:3">
      <c r="A232" s="1255" t="s">
        <v>192</v>
      </c>
      <c r="B232" s="1256" t="s">
        <v>188</v>
      </c>
      <c r="C232" s="1255"/>
    </row>
    <row r="233" spans="1:3">
      <c r="A233" s="1255" t="s">
        <v>193</v>
      </c>
      <c r="B233" s="1256" t="s">
        <v>196</v>
      </c>
      <c r="C233" s="1255"/>
    </row>
  </sheetData>
  <mergeCells count="20">
    <mergeCell ref="A185:A187"/>
    <mergeCell ref="B185:P185"/>
    <mergeCell ref="Q185:AE185"/>
    <mergeCell ref="AF185:AG185"/>
    <mergeCell ref="AH185:AI185"/>
    <mergeCell ref="A116:A118"/>
    <mergeCell ref="B116:P116"/>
    <mergeCell ref="Q116:AE116"/>
    <mergeCell ref="AF116:AG116"/>
    <mergeCell ref="AH116:AI116"/>
    <mergeCell ref="A68:A70"/>
    <mergeCell ref="B68:P68"/>
    <mergeCell ref="Q68:AE68"/>
    <mergeCell ref="AF68:AG68"/>
    <mergeCell ref="AH68:AI68"/>
    <mergeCell ref="A7:A9"/>
    <mergeCell ref="B7:P7"/>
    <mergeCell ref="Q7:AE7"/>
    <mergeCell ref="AF7:AG7"/>
    <mergeCell ref="AH7:AI7"/>
  </mergeCells>
  <printOptions horizontalCentered="1"/>
  <pageMargins left="0" right="0" top="0.94488188976377963" bottom="0.74803149606299213" header="0.51181102362204722" footer="0.31496062992125984"/>
  <pageSetup paperSize="9" scale="33" orientation="landscape" r:id="rId1"/>
  <headerFooter alignWithMargins="0">
    <oddHeader xml:space="preserve">&amp;C&amp;"Arial,Negrita"&amp;18PROYECTO DE PRESUPUESTO 2021
</oddHeader>
    <oddFooter>&amp;L&amp;"Arial,Negrita"&amp;8PROYECTO DE PRESUPUESTO PARA EL AÑO FISCAL 2020
INFORMACIÓN PARA LA COMISIÓN DE PRESUPUESTO Y CUENTA GENERAL DE LA REPÚBLICA DEL CONGRESO DE LA REPÚBLICA</oddFooter>
  </headerFooter>
  <rowBreaks count="3" manualBreakCount="3">
    <brk id="64" max="35" man="1"/>
    <brk id="113" max="35" man="1"/>
    <brk id="182" max="35" man="1"/>
  </rowBreaks>
  <ignoredErrors>
    <ignoredError sqref="K14:K16 K17:K18 Z14:Z18 K21:K25 K40 K37 K36 K33:K34 K26:K27 K35 K28:K32 K75:K88 K192:K196" formulaRange="1"/>
    <ignoredError sqref="B118:AI118"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3E55D-9F22-49BC-9D8F-83885960CB74}">
  <sheetPr>
    <tabColor theme="8" tint="-0.249977111117893"/>
  </sheetPr>
  <dimension ref="A1:U164"/>
  <sheetViews>
    <sheetView showGridLines="0" view="pageBreakPreview" zoomScaleNormal="100" zoomScaleSheetLayoutView="100" workbookViewId="0">
      <selection activeCell="A4" sqref="A4:A5"/>
    </sheetView>
  </sheetViews>
  <sheetFormatPr baseColWidth="10" defaultColWidth="11.42578125" defaultRowHeight="12"/>
  <cols>
    <col min="1" max="1" width="57.28515625" style="24" customWidth="1"/>
    <col min="2" max="4" width="12.7109375" style="24" customWidth="1"/>
    <col min="5" max="5" width="13.140625" style="24" customWidth="1"/>
    <col min="6" max="6" width="12.7109375" style="24" customWidth="1"/>
    <col min="7" max="7" width="14.28515625" style="24" customWidth="1"/>
    <col min="8" max="8" width="11.7109375" style="24" customWidth="1"/>
    <col min="9" max="9" width="13.28515625" style="24" customWidth="1"/>
    <col min="10" max="10" width="11.140625" style="24" customWidth="1"/>
    <col min="11" max="11" width="11.42578125" style="24"/>
    <col min="12" max="12" width="13.28515625" style="24" bestFit="1" customWidth="1"/>
    <col min="13" max="16384" width="11.42578125" style="24"/>
  </cols>
  <sheetData>
    <row r="1" spans="1:21" s="11" customFormat="1">
      <c r="A1" s="599" t="s">
        <v>401</v>
      </c>
      <c r="B1" s="599"/>
      <c r="C1" s="599"/>
      <c r="D1" s="599"/>
      <c r="E1" s="599"/>
      <c r="F1" s="599"/>
      <c r="G1" s="599"/>
      <c r="H1" s="599"/>
      <c r="I1" s="599"/>
    </row>
    <row r="2" spans="1:21" s="2" customFormat="1">
      <c r="A2" s="826" t="s">
        <v>438</v>
      </c>
      <c r="B2" s="599"/>
      <c r="C2" s="599"/>
      <c r="D2" s="599"/>
      <c r="E2" s="599"/>
      <c r="F2" s="599"/>
      <c r="G2" s="599"/>
      <c r="H2" s="599"/>
      <c r="I2" s="599"/>
      <c r="J2" s="599"/>
      <c r="K2" s="599"/>
      <c r="L2" s="599"/>
      <c r="M2" s="599"/>
      <c r="N2" s="599"/>
      <c r="O2" s="599"/>
      <c r="P2" s="599"/>
      <c r="Q2" s="599"/>
      <c r="R2" s="599"/>
      <c r="S2" s="599"/>
      <c r="T2" s="599"/>
      <c r="U2" s="599"/>
    </row>
    <row r="3" spans="1:21" ht="21.75" customHeight="1" thickBot="1">
      <c r="A3" s="1626" t="s">
        <v>446</v>
      </c>
      <c r="B3" s="785"/>
      <c r="E3" s="785"/>
    </row>
    <row r="4" spans="1:21" ht="12" customHeight="1" thickBot="1">
      <c r="A4" s="1743" t="s">
        <v>32</v>
      </c>
      <c r="B4" s="1739" t="s">
        <v>329</v>
      </c>
      <c r="C4" s="1746" t="s">
        <v>402</v>
      </c>
      <c r="D4" s="1746" t="s">
        <v>403</v>
      </c>
      <c r="E4" s="1746" t="s">
        <v>404</v>
      </c>
      <c r="F4" s="1741" t="s">
        <v>405</v>
      </c>
      <c r="G4" s="1739" t="s">
        <v>330</v>
      </c>
      <c r="H4" s="1741" t="s">
        <v>331</v>
      </c>
      <c r="I4" s="1739" t="s">
        <v>407</v>
      </c>
      <c r="J4" s="1741" t="s">
        <v>406</v>
      </c>
    </row>
    <row r="5" spans="1:21" ht="31.5" customHeight="1" thickBot="1">
      <c r="A5" s="1744"/>
      <c r="B5" s="1745"/>
      <c r="C5" s="1747"/>
      <c r="D5" s="1747"/>
      <c r="E5" s="1747"/>
      <c r="F5" s="1742"/>
      <c r="G5" s="1740"/>
      <c r="H5" s="1742"/>
      <c r="I5" s="1740"/>
      <c r="J5" s="1742"/>
    </row>
    <row r="6" spans="1:21" ht="14.1" customHeight="1">
      <c r="A6" s="531" t="s">
        <v>35</v>
      </c>
      <c r="B6" s="1598">
        <f>+B47+B88+B129</f>
        <v>410783</v>
      </c>
      <c r="C6" s="1599">
        <f t="shared" ref="C6:F6" si="0">+C47+C88+C129</f>
        <v>442461</v>
      </c>
      <c r="D6" s="1599">
        <f t="shared" si="0"/>
        <v>1819497</v>
      </c>
      <c r="E6" s="1599">
        <f t="shared" si="0"/>
        <v>241916</v>
      </c>
      <c r="F6" s="1600">
        <f t="shared" si="0"/>
        <v>118707</v>
      </c>
      <c r="G6" s="1591">
        <f>+D6-B6</f>
        <v>1408714</v>
      </c>
      <c r="H6" s="1592">
        <f>+G6/$G$38</f>
        <v>5.2154777640406103E-2</v>
      </c>
      <c r="I6" s="539">
        <f>+F6-D6</f>
        <v>-1700790</v>
      </c>
      <c r="J6" s="1592">
        <f>+F6/D6-1</f>
        <v>-0.93475834255291435</v>
      </c>
    </row>
    <row r="7" spans="1:21" ht="14.1" customHeight="1">
      <c r="A7" s="540" t="s">
        <v>254</v>
      </c>
      <c r="B7" s="1601">
        <f t="shared" ref="B7:F22" si="1">+B48+B89+B130</f>
        <v>6407651</v>
      </c>
      <c r="C7" s="1602">
        <f t="shared" si="1"/>
        <v>5745204</v>
      </c>
      <c r="D7" s="1602">
        <f t="shared" si="1"/>
        <v>5847055</v>
      </c>
      <c r="E7" s="1602">
        <f t="shared" si="1"/>
        <v>8450160</v>
      </c>
      <c r="F7" s="1603">
        <f t="shared" si="1"/>
        <v>1537695</v>
      </c>
      <c r="G7" s="1593">
        <f>+D7-B7</f>
        <v>-560596</v>
      </c>
      <c r="H7" s="1594">
        <f t="shared" ref="H7:H38" si="2">+D7/B7-1</f>
        <v>-8.7488535190196837E-2</v>
      </c>
      <c r="I7" s="541">
        <f t="shared" ref="I7:I37" si="3">+F7-D7</f>
        <v>-4309360</v>
      </c>
      <c r="J7" s="1594">
        <f t="shared" ref="J7:J36" si="4">+F7/D7-1</f>
        <v>-0.73701376162871735</v>
      </c>
    </row>
    <row r="8" spans="1:21" ht="14.1" customHeight="1">
      <c r="A8" s="540" t="s">
        <v>34</v>
      </c>
      <c r="B8" s="1601">
        <f t="shared" si="1"/>
        <v>0</v>
      </c>
      <c r="C8" s="1602">
        <f t="shared" si="1"/>
        <v>0</v>
      </c>
      <c r="D8" s="1602">
        <f t="shared" si="1"/>
        <v>0</v>
      </c>
      <c r="E8" s="1602">
        <f t="shared" si="1"/>
        <v>0</v>
      </c>
      <c r="F8" s="1603">
        <f t="shared" si="1"/>
        <v>12000</v>
      </c>
      <c r="G8" s="1593">
        <f>+D8-B8</f>
        <v>0</v>
      </c>
      <c r="H8" s="1594">
        <v>0</v>
      </c>
      <c r="I8" s="541">
        <f t="shared" si="3"/>
        <v>12000</v>
      </c>
      <c r="J8" s="1594">
        <v>0</v>
      </c>
    </row>
    <row r="9" spans="1:21" ht="14.1" customHeight="1">
      <c r="A9" s="540" t="s">
        <v>28</v>
      </c>
      <c r="B9" s="1601">
        <f t="shared" si="1"/>
        <v>1718606</v>
      </c>
      <c r="C9" s="1602">
        <f t="shared" si="1"/>
        <v>1336539</v>
      </c>
      <c r="D9" s="1602">
        <f t="shared" si="1"/>
        <v>0</v>
      </c>
      <c r="E9" s="1602">
        <f t="shared" si="1"/>
        <v>0</v>
      </c>
      <c r="F9" s="1603">
        <f t="shared" si="1"/>
        <v>0</v>
      </c>
      <c r="G9" s="1593">
        <v>0</v>
      </c>
      <c r="H9" s="1594">
        <v>0</v>
      </c>
      <c r="I9" s="541">
        <f t="shared" si="3"/>
        <v>0</v>
      </c>
      <c r="J9" s="1594">
        <v>0</v>
      </c>
    </row>
    <row r="10" spans="1:21" ht="14.1" customHeight="1">
      <c r="A10" s="540" t="s">
        <v>25</v>
      </c>
      <c r="B10" s="1601">
        <f t="shared" si="1"/>
        <v>821758</v>
      </c>
      <c r="C10" s="1602">
        <f t="shared" si="1"/>
        <v>817348</v>
      </c>
      <c r="D10" s="1602">
        <f t="shared" si="1"/>
        <v>1219744</v>
      </c>
      <c r="E10" s="1602">
        <f t="shared" si="1"/>
        <v>0</v>
      </c>
      <c r="F10" s="1603">
        <f t="shared" si="1"/>
        <v>0</v>
      </c>
      <c r="G10" s="1593">
        <f t="shared" ref="G10:G17" si="5">+D10-B10</f>
        <v>397986</v>
      </c>
      <c r="H10" s="1594">
        <f t="shared" si="2"/>
        <v>0.48431046609829176</v>
      </c>
      <c r="I10" s="541">
        <f t="shared" si="3"/>
        <v>-1219744</v>
      </c>
      <c r="J10" s="1594">
        <f t="shared" si="4"/>
        <v>-1</v>
      </c>
    </row>
    <row r="11" spans="1:21" ht="14.1" customHeight="1">
      <c r="A11" s="540" t="s">
        <v>251</v>
      </c>
      <c r="B11" s="1601">
        <f t="shared" si="1"/>
        <v>582281</v>
      </c>
      <c r="C11" s="1602">
        <f t="shared" si="1"/>
        <v>821080</v>
      </c>
      <c r="D11" s="1602">
        <f t="shared" si="1"/>
        <v>581541</v>
      </c>
      <c r="E11" s="1602">
        <f t="shared" si="1"/>
        <v>1879376</v>
      </c>
      <c r="F11" s="1603">
        <f t="shared" si="1"/>
        <v>763195</v>
      </c>
      <c r="G11" s="1593">
        <f t="shared" si="5"/>
        <v>-740</v>
      </c>
      <c r="H11" s="1594">
        <f t="shared" si="2"/>
        <v>-1.2708640673488869E-3</v>
      </c>
      <c r="I11" s="541">
        <f t="shared" si="3"/>
        <v>181654</v>
      </c>
      <c r="J11" s="1594">
        <f t="shared" si="4"/>
        <v>0.31236662591287634</v>
      </c>
    </row>
    <row r="12" spans="1:21" ht="14.1" customHeight="1">
      <c r="A12" s="540" t="s">
        <v>264</v>
      </c>
      <c r="B12" s="1601">
        <f t="shared" si="1"/>
        <v>1643402</v>
      </c>
      <c r="C12" s="1602">
        <f t="shared" si="1"/>
        <v>1812121</v>
      </c>
      <c r="D12" s="1602">
        <f t="shared" si="1"/>
        <v>1373470</v>
      </c>
      <c r="E12" s="1602">
        <f t="shared" si="1"/>
        <v>1908268</v>
      </c>
      <c r="F12" s="1603">
        <f t="shared" si="1"/>
        <v>4072283</v>
      </c>
      <c r="G12" s="1593">
        <f t="shared" si="5"/>
        <v>-269932</v>
      </c>
      <c r="H12" s="1594">
        <f t="shared" si="2"/>
        <v>-0.164251960262918</v>
      </c>
      <c r="I12" s="541">
        <f t="shared" si="3"/>
        <v>2698813</v>
      </c>
      <c r="J12" s="1594">
        <f t="shared" si="4"/>
        <v>1.9649595549957408</v>
      </c>
    </row>
    <row r="13" spans="1:21" ht="14.1" customHeight="1">
      <c r="A13" s="540" t="s">
        <v>30</v>
      </c>
      <c r="B13" s="1601">
        <f t="shared" si="1"/>
        <v>786968</v>
      </c>
      <c r="C13" s="1602">
        <f t="shared" si="1"/>
        <v>119150</v>
      </c>
      <c r="D13" s="1602">
        <f t="shared" si="1"/>
        <v>221917</v>
      </c>
      <c r="E13" s="1602">
        <f t="shared" si="1"/>
        <v>0</v>
      </c>
      <c r="F13" s="1603">
        <f t="shared" si="1"/>
        <v>0</v>
      </c>
      <c r="G13" s="1593">
        <f t="shared" si="5"/>
        <v>-565051</v>
      </c>
      <c r="H13" s="1594">
        <f t="shared" si="2"/>
        <v>-0.71801013510079192</v>
      </c>
      <c r="I13" s="541">
        <f t="shared" si="3"/>
        <v>-221917</v>
      </c>
      <c r="J13" s="1594">
        <f t="shared" si="4"/>
        <v>-1</v>
      </c>
    </row>
    <row r="14" spans="1:21" ht="14.1" customHeight="1">
      <c r="A14" s="540" t="s">
        <v>260</v>
      </c>
      <c r="B14" s="1601">
        <f t="shared" si="1"/>
        <v>67300549</v>
      </c>
      <c r="C14" s="1602">
        <f t="shared" si="1"/>
        <v>83204201</v>
      </c>
      <c r="D14" s="1602">
        <f t="shared" si="1"/>
        <v>76825176</v>
      </c>
      <c r="E14" s="1602">
        <f t="shared" si="1"/>
        <v>83347622</v>
      </c>
      <c r="F14" s="1603">
        <f t="shared" si="1"/>
        <v>66696881</v>
      </c>
      <c r="G14" s="1593">
        <f t="shared" si="5"/>
        <v>9524627</v>
      </c>
      <c r="H14" s="1594">
        <f t="shared" si="2"/>
        <v>0.14152376379574561</v>
      </c>
      <c r="I14" s="541">
        <f t="shared" si="3"/>
        <v>-10128295</v>
      </c>
      <c r="J14" s="1594">
        <f t="shared" si="4"/>
        <v>-0.1318356237804128</v>
      </c>
    </row>
    <row r="15" spans="1:21" ht="14.1" customHeight="1">
      <c r="A15" s="540" t="s">
        <v>258</v>
      </c>
      <c r="B15" s="1601">
        <f t="shared" si="1"/>
        <v>195340</v>
      </c>
      <c r="C15" s="1602">
        <f t="shared" si="1"/>
        <v>385115</v>
      </c>
      <c r="D15" s="1602">
        <f t="shared" si="1"/>
        <v>369387</v>
      </c>
      <c r="E15" s="1602">
        <f t="shared" si="1"/>
        <v>225053</v>
      </c>
      <c r="F15" s="1603">
        <f t="shared" si="1"/>
        <v>83860</v>
      </c>
      <c r="G15" s="1593">
        <f t="shared" si="5"/>
        <v>174047</v>
      </c>
      <c r="H15" s="1594">
        <f t="shared" si="2"/>
        <v>0.89099518787754683</v>
      </c>
      <c r="I15" s="541">
        <f t="shared" si="3"/>
        <v>-285527</v>
      </c>
      <c r="J15" s="1594">
        <f t="shared" si="4"/>
        <v>-0.77297522652394368</v>
      </c>
    </row>
    <row r="16" spans="1:21" ht="14.1" customHeight="1">
      <c r="A16" s="540" t="s">
        <v>255</v>
      </c>
      <c r="B16" s="1601">
        <f t="shared" si="1"/>
        <v>3082706</v>
      </c>
      <c r="C16" s="1602">
        <f t="shared" si="1"/>
        <v>2623309</v>
      </c>
      <c r="D16" s="1602">
        <f t="shared" si="1"/>
        <v>2737182</v>
      </c>
      <c r="E16" s="1602">
        <f t="shared" si="1"/>
        <v>3790102</v>
      </c>
      <c r="F16" s="1603">
        <f t="shared" si="1"/>
        <v>1350848</v>
      </c>
      <c r="G16" s="1593">
        <f t="shared" si="5"/>
        <v>-345524</v>
      </c>
      <c r="H16" s="1594">
        <f t="shared" si="2"/>
        <v>-0.11208464251861838</v>
      </c>
      <c r="I16" s="541">
        <f t="shared" si="3"/>
        <v>-1386334</v>
      </c>
      <c r="J16" s="1594">
        <f t="shared" si="4"/>
        <v>-0.50648221418963013</v>
      </c>
    </row>
    <row r="17" spans="1:10" ht="14.1" customHeight="1">
      <c r="A17" s="540" t="s">
        <v>262</v>
      </c>
      <c r="B17" s="1601">
        <f t="shared" si="1"/>
        <v>35684</v>
      </c>
      <c r="C17" s="1602">
        <f t="shared" si="1"/>
        <v>84064</v>
      </c>
      <c r="D17" s="1602">
        <f t="shared" si="1"/>
        <v>113830</v>
      </c>
      <c r="E17" s="1602">
        <f t="shared" si="1"/>
        <v>26076</v>
      </c>
      <c r="F17" s="1603">
        <f t="shared" si="1"/>
        <v>17090</v>
      </c>
      <c r="G17" s="1593">
        <f t="shared" si="5"/>
        <v>78146</v>
      </c>
      <c r="H17" s="1594">
        <f t="shared" si="2"/>
        <v>2.1899450734222619</v>
      </c>
      <c r="I17" s="541">
        <f t="shared" si="3"/>
        <v>-96740</v>
      </c>
      <c r="J17" s="1594">
        <f t="shared" si="4"/>
        <v>-0.84986383203022053</v>
      </c>
    </row>
    <row r="18" spans="1:10" ht="14.1" customHeight="1">
      <c r="A18" s="540" t="s">
        <v>37</v>
      </c>
      <c r="B18" s="1601">
        <f t="shared" si="1"/>
        <v>1637764</v>
      </c>
      <c r="C18" s="1602">
        <f t="shared" si="1"/>
        <v>1707289</v>
      </c>
      <c r="D18" s="1602">
        <f t="shared" si="1"/>
        <v>7069229</v>
      </c>
      <c r="E18" s="1602">
        <f t="shared" si="1"/>
        <v>0</v>
      </c>
      <c r="F18" s="1603">
        <f t="shared" si="1"/>
        <v>9472540</v>
      </c>
      <c r="G18" s="1593">
        <f t="shared" ref="G18:G35" si="6">+D18-B18</f>
        <v>5431465</v>
      </c>
      <c r="H18" s="1594">
        <f t="shared" si="2"/>
        <v>3.3163905178035415</v>
      </c>
      <c r="I18" s="541">
        <f t="shared" si="3"/>
        <v>2403311</v>
      </c>
      <c r="J18" s="1594">
        <f t="shared" si="4"/>
        <v>0.33996790880589667</v>
      </c>
    </row>
    <row r="19" spans="1:10" ht="14.1" customHeight="1">
      <c r="A19" s="540" t="s">
        <v>33</v>
      </c>
      <c r="B19" s="1601">
        <f t="shared" si="1"/>
        <v>2907512</v>
      </c>
      <c r="C19" s="1602">
        <f t="shared" si="1"/>
        <v>3071000</v>
      </c>
      <c r="D19" s="1602">
        <f t="shared" si="1"/>
        <v>3679721</v>
      </c>
      <c r="E19" s="1602">
        <f t="shared" si="1"/>
        <v>0</v>
      </c>
      <c r="F19" s="1603">
        <f t="shared" si="1"/>
        <v>3913626</v>
      </c>
      <c r="G19" s="1593">
        <f t="shared" ref="G19:G27" si="7">+D19-B19</f>
        <v>772209</v>
      </c>
      <c r="H19" s="1594">
        <f t="shared" si="2"/>
        <v>0.26559099326159274</v>
      </c>
      <c r="I19" s="541">
        <f t="shared" si="3"/>
        <v>233905</v>
      </c>
      <c r="J19" s="1594">
        <f t="shared" si="4"/>
        <v>6.3565960571467128E-2</v>
      </c>
    </row>
    <row r="20" spans="1:10" ht="14.1" customHeight="1">
      <c r="A20" s="540" t="s">
        <v>29</v>
      </c>
      <c r="B20" s="1601">
        <f t="shared" si="1"/>
        <v>3780451</v>
      </c>
      <c r="C20" s="1602">
        <f t="shared" si="1"/>
        <v>3607424</v>
      </c>
      <c r="D20" s="1602">
        <f t="shared" si="1"/>
        <v>3773771</v>
      </c>
      <c r="E20" s="1602">
        <f t="shared" si="1"/>
        <v>4330350</v>
      </c>
      <c r="F20" s="1603">
        <f t="shared" si="1"/>
        <v>2232894</v>
      </c>
      <c r="G20" s="1593">
        <f t="shared" si="7"/>
        <v>-6680</v>
      </c>
      <c r="H20" s="1594">
        <f t="shared" si="2"/>
        <v>-1.7669849443888719E-3</v>
      </c>
      <c r="I20" s="541">
        <f t="shared" si="3"/>
        <v>-1540877</v>
      </c>
      <c r="J20" s="1594">
        <f t="shared" si="4"/>
        <v>-0.40831226908045026</v>
      </c>
    </row>
    <row r="21" spans="1:10" ht="14.1" customHeight="1">
      <c r="A21" s="540" t="s">
        <v>27</v>
      </c>
      <c r="B21" s="1601">
        <f t="shared" si="1"/>
        <v>408151</v>
      </c>
      <c r="C21" s="1602">
        <f t="shared" si="1"/>
        <v>481277</v>
      </c>
      <c r="D21" s="1602">
        <f t="shared" si="1"/>
        <v>373812</v>
      </c>
      <c r="E21" s="1602">
        <f t="shared" si="1"/>
        <v>0</v>
      </c>
      <c r="F21" s="1603">
        <f t="shared" si="1"/>
        <v>1500015</v>
      </c>
      <c r="G21" s="1593">
        <f t="shared" si="7"/>
        <v>-34339</v>
      </c>
      <c r="H21" s="1594">
        <f t="shared" si="2"/>
        <v>-8.4133078198999844E-2</v>
      </c>
      <c r="I21" s="541">
        <f t="shared" si="3"/>
        <v>1126203</v>
      </c>
      <c r="J21" s="1594">
        <f t="shared" si="4"/>
        <v>3.012752399601939</v>
      </c>
    </row>
    <row r="22" spans="1:10" ht="14.1" customHeight="1">
      <c r="A22" s="540" t="s">
        <v>256</v>
      </c>
      <c r="B22" s="1601">
        <f t="shared" si="1"/>
        <v>498311</v>
      </c>
      <c r="C22" s="1602">
        <f t="shared" si="1"/>
        <v>706808</v>
      </c>
      <c r="D22" s="1602">
        <f t="shared" si="1"/>
        <v>616694</v>
      </c>
      <c r="E22" s="1602">
        <f t="shared" si="1"/>
        <v>846106</v>
      </c>
      <c r="F22" s="1603">
        <f t="shared" si="1"/>
        <v>1932945</v>
      </c>
      <c r="G22" s="1593">
        <f t="shared" si="7"/>
        <v>118383</v>
      </c>
      <c r="H22" s="1594">
        <f t="shared" si="2"/>
        <v>0.23756850641466865</v>
      </c>
      <c r="I22" s="541">
        <f t="shared" si="3"/>
        <v>1316251</v>
      </c>
      <c r="J22" s="1594">
        <f t="shared" si="4"/>
        <v>2.1343664767291397</v>
      </c>
    </row>
    <row r="23" spans="1:10" ht="14.1" customHeight="1">
      <c r="A23" s="540" t="s">
        <v>38</v>
      </c>
      <c r="B23" s="1601">
        <f t="shared" ref="B23:F37" si="8">+B64+B105+B146</f>
        <v>1816102</v>
      </c>
      <c r="C23" s="1602">
        <f t="shared" si="8"/>
        <v>1225793</v>
      </c>
      <c r="D23" s="1602">
        <f t="shared" si="8"/>
        <v>1336802</v>
      </c>
      <c r="E23" s="1602">
        <f t="shared" si="8"/>
        <v>0</v>
      </c>
      <c r="F23" s="1603">
        <f t="shared" si="8"/>
        <v>711865</v>
      </c>
      <c r="G23" s="1593">
        <f t="shared" si="7"/>
        <v>-479300</v>
      </c>
      <c r="H23" s="1594">
        <f t="shared" si="2"/>
        <v>-0.26391689453565936</v>
      </c>
      <c r="I23" s="541">
        <f t="shared" si="3"/>
        <v>-624937</v>
      </c>
      <c r="J23" s="1594">
        <f t="shared" si="4"/>
        <v>-0.46748658365262774</v>
      </c>
    </row>
    <row r="24" spans="1:10" ht="14.1" customHeight="1">
      <c r="A24" s="540" t="s">
        <v>41</v>
      </c>
      <c r="B24" s="1601">
        <f t="shared" si="8"/>
        <v>15993958</v>
      </c>
      <c r="C24" s="1602">
        <f t="shared" si="8"/>
        <v>16388167</v>
      </c>
      <c r="D24" s="1602">
        <f t="shared" si="8"/>
        <v>9634372</v>
      </c>
      <c r="E24" s="1602">
        <f t="shared" si="8"/>
        <v>0</v>
      </c>
      <c r="F24" s="1603">
        <f t="shared" si="8"/>
        <v>8331641</v>
      </c>
      <c r="G24" s="1593">
        <f t="shared" si="7"/>
        <v>-6359586</v>
      </c>
      <c r="H24" s="1594">
        <f t="shared" si="2"/>
        <v>-0.39762427786792987</v>
      </c>
      <c r="I24" s="541">
        <f t="shared" si="3"/>
        <v>-1302731</v>
      </c>
      <c r="J24" s="1594">
        <f t="shared" si="4"/>
        <v>-0.13521701258784691</v>
      </c>
    </row>
    <row r="25" spans="1:10" ht="14.1" customHeight="1">
      <c r="A25" s="540" t="s">
        <v>253</v>
      </c>
      <c r="B25" s="1601">
        <f t="shared" si="8"/>
        <v>5256638</v>
      </c>
      <c r="C25" s="1602">
        <f t="shared" si="8"/>
        <v>6394436</v>
      </c>
      <c r="D25" s="1602">
        <f t="shared" si="8"/>
        <v>8166308</v>
      </c>
      <c r="E25" s="1602">
        <f t="shared" si="8"/>
        <v>9994934</v>
      </c>
      <c r="F25" s="1603">
        <f t="shared" si="8"/>
        <v>3812633</v>
      </c>
      <c r="G25" s="1593">
        <f t="shared" si="7"/>
        <v>2909670</v>
      </c>
      <c r="H25" s="1594">
        <f t="shared" si="2"/>
        <v>0.55352299321353304</v>
      </c>
      <c r="I25" s="541">
        <f t="shared" si="3"/>
        <v>-4353675</v>
      </c>
      <c r="J25" s="1594">
        <f t="shared" si="4"/>
        <v>-0.53312647526887302</v>
      </c>
    </row>
    <row r="26" spans="1:10" ht="14.1" customHeight="1">
      <c r="A26" s="540" t="s">
        <v>257</v>
      </c>
      <c r="B26" s="1601">
        <f t="shared" si="8"/>
        <v>3060135</v>
      </c>
      <c r="C26" s="1602">
        <f t="shared" si="8"/>
        <v>4636567</v>
      </c>
      <c r="D26" s="1602">
        <f t="shared" si="8"/>
        <v>5439566</v>
      </c>
      <c r="E26" s="1602">
        <f t="shared" si="8"/>
        <v>4666797</v>
      </c>
      <c r="F26" s="1603">
        <f t="shared" si="8"/>
        <v>2600826</v>
      </c>
      <c r="G26" s="1593">
        <f t="shared" si="7"/>
        <v>2379431</v>
      </c>
      <c r="H26" s="1594">
        <f t="shared" si="2"/>
        <v>0.77755752605685702</v>
      </c>
      <c r="I26" s="541">
        <f t="shared" si="3"/>
        <v>-2838740</v>
      </c>
      <c r="J26" s="1594">
        <f t="shared" si="4"/>
        <v>-0.5218688402714482</v>
      </c>
    </row>
    <row r="27" spans="1:10" ht="14.1" customHeight="1">
      <c r="A27" s="540" t="s">
        <v>250</v>
      </c>
      <c r="B27" s="1601">
        <f t="shared" si="8"/>
        <v>7319559</v>
      </c>
      <c r="C27" s="1602">
        <f t="shared" si="8"/>
        <v>7474931</v>
      </c>
      <c r="D27" s="1602">
        <f t="shared" si="8"/>
        <v>7264711</v>
      </c>
      <c r="E27" s="1602">
        <f t="shared" si="8"/>
        <v>9491038</v>
      </c>
      <c r="F27" s="1603">
        <f t="shared" si="8"/>
        <v>6514789</v>
      </c>
      <c r="G27" s="1593">
        <f t="shared" si="7"/>
        <v>-54848</v>
      </c>
      <c r="H27" s="1594">
        <f t="shared" si="2"/>
        <v>-7.4933476183469683E-3</v>
      </c>
      <c r="I27" s="541">
        <f t="shared" si="3"/>
        <v>-749922</v>
      </c>
      <c r="J27" s="1594">
        <f t="shared" si="4"/>
        <v>-0.10322805683529601</v>
      </c>
    </row>
    <row r="28" spans="1:10" ht="14.1" customHeight="1">
      <c r="A28" s="540" t="s">
        <v>252</v>
      </c>
      <c r="B28" s="1601">
        <f t="shared" si="8"/>
        <v>9590130</v>
      </c>
      <c r="C28" s="1602">
        <f t="shared" si="8"/>
        <v>9764168</v>
      </c>
      <c r="D28" s="1602">
        <f t="shared" si="8"/>
        <v>9194115</v>
      </c>
      <c r="E28" s="1602">
        <f t="shared" si="8"/>
        <v>10182620</v>
      </c>
      <c r="F28" s="1603">
        <f t="shared" si="8"/>
        <v>9473099</v>
      </c>
      <c r="G28" s="1593">
        <f t="shared" si="6"/>
        <v>-396015</v>
      </c>
      <c r="H28" s="1594">
        <f t="shared" si="2"/>
        <v>-4.1294017912165915E-2</v>
      </c>
      <c r="I28" s="541">
        <f t="shared" si="3"/>
        <v>278984</v>
      </c>
      <c r="J28" s="1594">
        <f t="shared" si="4"/>
        <v>3.0343757936462712E-2</v>
      </c>
    </row>
    <row r="29" spans="1:10" ht="14.1" customHeight="1">
      <c r="A29" s="540" t="s">
        <v>26</v>
      </c>
      <c r="B29" s="1601">
        <f t="shared" si="8"/>
        <v>1369199</v>
      </c>
      <c r="C29" s="1602">
        <f t="shared" si="8"/>
        <v>3019939</v>
      </c>
      <c r="D29" s="1602">
        <f t="shared" si="8"/>
        <v>1399502</v>
      </c>
      <c r="E29" s="1602">
        <f t="shared" si="8"/>
        <v>0</v>
      </c>
      <c r="F29" s="1603">
        <f t="shared" si="8"/>
        <v>0</v>
      </c>
      <c r="G29" s="1593">
        <f t="shared" ref="G29:G34" si="9">+D29-B29</f>
        <v>30303</v>
      </c>
      <c r="H29" s="1594">
        <f t="shared" si="2"/>
        <v>2.2131918004614448E-2</v>
      </c>
      <c r="I29" s="541">
        <f t="shared" si="3"/>
        <v>-1399502</v>
      </c>
      <c r="J29" s="1594">
        <f t="shared" si="4"/>
        <v>-1</v>
      </c>
    </row>
    <row r="30" spans="1:10" ht="14.1" customHeight="1">
      <c r="A30" s="540" t="s">
        <v>259</v>
      </c>
      <c r="B30" s="1601">
        <f t="shared" si="8"/>
        <v>63666861</v>
      </c>
      <c r="C30" s="1602">
        <f t="shared" si="8"/>
        <v>53610228</v>
      </c>
      <c r="D30" s="1602">
        <f t="shared" si="8"/>
        <v>76629841</v>
      </c>
      <c r="E30" s="1602">
        <f t="shared" si="8"/>
        <v>92151790</v>
      </c>
      <c r="F30" s="1603">
        <f t="shared" si="8"/>
        <v>35011485</v>
      </c>
      <c r="G30" s="1593">
        <f t="shared" si="9"/>
        <v>12962980</v>
      </c>
      <c r="H30" s="1594">
        <f t="shared" si="2"/>
        <v>0.20360639422760296</v>
      </c>
      <c r="I30" s="541">
        <f t="shared" si="3"/>
        <v>-41618356</v>
      </c>
      <c r="J30" s="1594">
        <f t="shared" si="4"/>
        <v>-0.54310899588059958</v>
      </c>
    </row>
    <row r="31" spans="1:10" ht="14.1" customHeight="1">
      <c r="A31" s="540" t="s">
        <v>261</v>
      </c>
      <c r="B31" s="1601">
        <f t="shared" si="8"/>
        <v>1177030</v>
      </c>
      <c r="C31" s="1602">
        <f t="shared" si="8"/>
        <v>1251381</v>
      </c>
      <c r="D31" s="1602">
        <f t="shared" si="8"/>
        <v>1537982</v>
      </c>
      <c r="E31" s="1602">
        <f t="shared" si="8"/>
        <v>1983222</v>
      </c>
      <c r="F31" s="1603">
        <f t="shared" si="8"/>
        <v>2321728</v>
      </c>
      <c r="G31" s="1593">
        <f t="shared" si="9"/>
        <v>360952</v>
      </c>
      <c r="H31" s="1594">
        <f t="shared" si="2"/>
        <v>0.30666338156206718</v>
      </c>
      <c r="I31" s="541">
        <f t="shared" si="3"/>
        <v>783746</v>
      </c>
      <c r="J31" s="1594">
        <f t="shared" si="4"/>
        <v>0.50959374036887306</v>
      </c>
    </row>
    <row r="32" spans="1:10" ht="14.1" customHeight="1">
      <c r="A32" s="540" t="s">
        <v>249</v>
      </c>
      <c r="B32" s="1601">
        <f t="shared" si="8"/>
        <v>343357</v>
      </c>
      <c r="C32" s="1602">
        <f t="shared" si="8"/>
        <v>2035762</v>
      </c>
      <c r="D32" s="1602">
        <f t="shared" si="8"/>
        <v>234156</v>
      </c>
      <c r="E32" s="1602">
        <f t="shared" si="8"/>
        <v>478131</v>
      </c>
      <c r="F32" s="1603">
        <f t="shared" si="8"/>
        <v>1195376</v>
      </c>
      <c r="G32" s="1593">
        <f t="shared" si="9"/>
        <v>-109201</v>
      </c>
      <c r="H32" s="1594">
        <f t="shared" si="2"/>
        <v>-0.3180392419551662</v>
      </c>
      <c r="I32" s="541">
        <f t="shared" si="3"/>
        <v>961220</v>
      </c>
      <c r="J32" s="1594">
        <f t="shared" si="4"/>
        <v>4.1050410837219635</v>
      </c>
    </row>
    <row r="33" spans="1:10" ht="14.1" customHeight="1">
      <c r="A33" s="540" t="s">
        <v>263</v>
      </c>
      <c r="B33" s="1601">
        <f t="shared" si="8"/>
        <v>54074</v>
      </c>
      <c r="C33" s="1602">
        <f t="shared" si="8"/>
        <v>14384</v>
      </c>
      <c r="D33" s="1602">
        <f t="shared" si="8"/>
        <v>2050</v>
      </c>
      <c r="E33" s="1602">
        <f t="shared" si="8"/>
        <v>2427</v>
      </c>
      <c r="F33" s="1603">
        <f t="shared" si="8"/>
        <v>9290</v>
      </c>
      <c r="G33" s="1593">
        <f t="shared" si="9"/>
        <v>-52024</v>
      </c>
      <c r="H33" s="1594">
        <f t="shared" si="2"/>
        <v>-0.9620889891629989</v>
      </c>
      <c r="I33" s="541">
        <f t="shared" si="3"/>
        <v>7240</v>
      </c>
      <c r="J33" s="1594">
        <f t="shared" si="4"/>
        <v>3.5317073170731703</v>
      </c>
    </row>
    <row r="34" spans="1:10" ht="14.1" customHeight="1">
      <c r="A34" s="540" t="s">
        <v>36</v>
      </c>
      <c r="B34" s="1601">
        <f t="shared" si="8"/>
        <v>2067270</v>
      </c>
      <c r="C34" s="1602">
        <f t="shared" si="8"/>
        <v>1800000</v>
      </c>
      <c r="D34" s="1602">
        <f t="shared" si="8"/>
        <v>1399206</v>
      </c>
      <c r="E34" s="1602">
        <f t="shared" si="8"/>
        <v>0</v>
      </c>
      <c r="F34" s="1603">
        <f t="shared" si="8"/>
        <v>0</v>
      </c>
      <c r="G34" s="1593">
        <f t="shared" si="9"/>
        <v>-668064</v>
      </c>
      <c r="H34" s="1594">
        <v>0</v>
      </c>
      <c r="I34" s="541">
        <f t="shared" si="3"/>
        <v>-1399206</v>
      </c>
      <c r="J34" s="1594">
        <v>0</v>
      </c>
    </row>
    <row r="35" spans="1:10" ht="14.1" customHeight="1">
      <c r="A35" s="540" t="s">
        <v>248</v>
      </c>
      <c r="B35" s="1601">
        <f t="shared" si="8"/>
        <v>745740</v>
      </c>
      <c r="C35" s="1602">
        <f t="shared" si="8"/>
        <v>308804</v>
      </c>
      <c r="D35" s="1602">
        <f t="shared" si="8"/>
        <v>405198</v>
      </c>
      <c r="E35" s="1602">
        <f t="shared" si="8"/>
        <v>45000</v>
      </c>
      <c r="F35" s="1603">
        <f t="shared" si="8"/>
        <v>0</v>
      </c>
      <c r="G35" s="1593">
        <f t="shared" si="6"/>
        <v>-340542</v>
      </c>
      <c r="H35" s="1594">
        <f t="shared" si="2"/>
        <v>-0.45664977069756219</v>
      </c>
      <c r="I35" s="541">
        <f t="shared" si="3"/>
        <v>-405198</v>
      </c>
      <c r="J35" s="1594">
        <f t="shared" si="4"/>
        <v>-1</v>
      </c>
    </row>
    <row r="36" spans="1:10" ht="14.1" customHeight="1">
      <c r="A36" s="540" t="s">
        <v>39</v>
      </c>
      <c r="B36" s="1601">
        <f t="shared" si="8"/>
        <v>5512690</v>
      </c>
      <c r="C36" s="1602">
        <f t="shared" si="8"/>
        <v>4042526</v>
      </c>
      <c r="D36" s="1602">
        <f t="shared" si="8"/>
        <v>6216477</v>
      </c>
      <c r="E36" s="1602">
        <f t="shared" si="8"/>
        <v>4559088</v>
      </c>
      <c r="F36" s="1603">
        <f t="shared" si="8"/>
        <v>6438204</v>
      </c>
      <c r="G36" s="1593">
        <f>+D36-B36</f>
        <v>703787</v>
      </c>
      <c r="H36" s="1594">
        <f t="shared" si="2"/>
        <v>0.12766671080724645</v>
      </c>
      <c r="I36" s="541">
        <f t="shared" si="3"/>
        <v>221727</v>
      </c>
      <c r="J36" s="1594">
        <f t="shared" si="4"/>
        <v>3.5667629752350161E-2</v>
      </c>
    </row>
    <row r="37" spans="1:10" ht="14.1" customHeight="1" thickBot="1">
      <c r="A37" s="542" t="s">
        <v>910</v>
      </c>
      <c r="B37" s="1604">
        <f t="shared" si="8"/>
        <v>0</v>
      </c>
      <c r="C37" s="1605">
        <f t="shared" si="8"/>
        <v>27284</v>
      </c>
      <c r="D37" s="1605">
        <f t="shared" si="8"/>
        <v>0</v>
      </c>
      <c r="E37" s="1605">
        <f t="shared" si="8"/>
        <v>1973157</v>
      </c>
      <c r="F37" s="1606">
        <f t="shared" si="8"/>
        <v>406273</v>
      </c>
      <c r="G37" s="1595">
        <f>+D37-B37</f>
        <v>0</v>
      </c>
      <c r="H37" s="1596">
        <v>0</v>
      </c>
      <c r="I37" s="543">
        <f t="shared" si="3"/>
        <v>406273</v>
      </c>
      <c r="J37" s="1596">
        <v>0</v>
      </c>
    </row>
    <row r="38" spans="1:10" ht="16.5" customHeight="1" thickBot="1">
      <c r="A38" s="535" t="s">
        <v>54</v>
      </c>
      <c r="B38" s="532">
        <f>SUM(B6:B37)</f>
        <v>210190660</v>
      </c>
      <c r="C38" s="1607">
        <f t="shared" ref="C38:F38" si="10">SUM(C6:C37)</f>
        <v>218958760</v>
      </c>
      <c r="D38" s="1607">
        <f t="shared" si="10"/>
        <v>235482312</v>
      </c>
      <c r="E38" s="1607">
        <f t="shared" si="10"/>
        <v>240573233</v>
      </c>
      <c r="F38" s="1608">
        <f t="shared" si="10"/>
        <v>170531788</v>
      </c>
      <c r="G38" s="532">
        <f>SUM(G6:G37)</f>
        <v>27010258</v>
      </c>
      <c r="H38" s="1597">
        <f t="shared" si="2"/>
        <v>0.12032719246421331</v>
      </c>
      <c r="I38" s="532">
        <f>SUM(I6:I37)</f>
        <v>-64950524</v>
      </c>
      <c r="J38" s="1597">
        <f>+F38/D38-1</f>
        <v>-0.27581911969676942</v>
      </c>
    </row>
    <row r="39" spans="1:10">
      <c r="A39" s="607" t="s">
        <v>56</v>
      </c>
      <c r="B39" s="605"/>
      <c r="C39" s="605"/>
      <c r="D39" s="605"/>
      <c r="E39" s="605"/>
      <c r="F39" s="605"/>
      <c r="G39" s="605"/>
      <c r="H39" s="605"/>
      <c r="I39" s="605"/>
    </row>
    <row r="40" spans="1:10">
      <c r="A40" s="607" t="s">
        <v>332</v>
      </c>
      <c r="B40" s="6"/>
      <c r="C40" s="6"/>
      <c r="D40" s="6"/>
      <c r="E40" s="6"/>
      <c r="F40" s="6"/>
      <c r="G40" s="6"/>
      <c r="H40" s="6"/>
      <c r="I40" s="6"/>
    </row>
    <row r="41" spans="1:10">
      <c r="A41" s="607" t="s">
        <v>158</v>
      </c>
      <c r="B41" s="605"/>
      <c r="C41" s="605"/>
      <c r="D41" s="605"/>
      <c r="E41" s="605"/>
      <c r="F41" s="605"/>
      <c r="G41" s="605"/>
      <c r="H41" s="605"/>
      <c r="I41" s="605"/>
    </row>
    <row r="42" spans="1:10">
      <c r="A42" s="607"/>
      <c r="B42" s="605"/>
      <c r="C42" s="605"/>
      <c r="D42" s="605"/>
      <c r="E42" s="605"/>
      <c r="F42" s="605"/>
      <c r="G42" s="605"/>
      <c r="H42" s="605"/>
      <c r="I42" s="605"/>
    </row>
    <row r="43" spans="1:10" ht="5.25" customHeight="1"/>
    <row r="44" spans="1:10" ht="13.5" thickBot="1">
      <c r="A44" s="534" t="s">
        <v>909</v>
      </c>
      <c r="B44" s="785"/>
      <c r="C44" s="783"/>
      <c r="D44" s="783"/>
      <c r="E44" s="785"/>
      <c r="F44" s="783"/>
      <c r="G44" s="783"/>
      <c r="H44" s="783"/>
      <c r="I44" s="783"/>
      <c r="J44" s="783"/>
    </row>
    <row r="45" spans="1:10" ht="12.75" customHeight="1" thickBot="1">
      <c r="A45" s="1743" t="s">
        <v>32</v>
      </c>
      <c r="B45" s="1739" t="s">
        <v>329</v>
      </c>
      <c r="C45" s="1746" t="s">
        <v>402</v>
      </c>
      <c r="D45" s="1746" t="s">
        <v>403</v>
      </c>
      <c r="E45" s="1746" t="s">
        <v>404</v>
      </c>
      <c r="F45" s="1741" t="s">
        <v>405</v>
      </c>
      <c r="G45" s="1739" t="s">
        <v>330</v>
      </c>
      <c r="H45" s="1741" t="s">
        <v>331</v>
      </c>
      <c r="I45" s="1739" t="s">
        <v>407</v>
      </c>
      <c r="J45" s="1741" t="s">
        <v>406</v>
      </c>
    </row>
    <row r="46" spans="1:10" ht="33.75" customHeight="1" thickBot="1">
      <c r="A46" s="1744"/>
      <c r="B46" s="1745"/>
      <c r="C46" s="1747"/>
      <c r="D46" s="1747"/>
      <c r="E46" s="1747"/>
      <c r="F46" s="1742"/>
      <c r="G46" s="1740"/>
      <c r="H46" s="1742"/>
      <c r="I46" s="1740"/>
      <c r="J46" s="1742"/>
    </row>
    <row r="47" spans="1:10" ht="14.1" customHeight="1">
      <c r="A47" s="531" t="s">
        <v>35</v>
      </c>
      <c r="B47" s="1591">
        <v>24000</v>
      </c>
      <c r="C47" s="1583">
        <v>36000</v>
      </c>
      <c r="D47" s="1583">
        <v>20000</v>
      </c>
      <c r="E47" s="1583">
        <v>23600</v>
      </c>
      <c r="F47" s="1584">
        <v>12000</v>
      </c>
      <c r="G47" s="1591">
        <f t="shared" ref="G47:G78" si="11">+D47-B47</f>
        <v>-4000</v>
      </c>
      <c r="H47" s="1592">
        <f t="shared" ref="H47:H79" si="12">+D47/B47-1</f>
        <v>-0.16666666666666663</v>
      </c>
      <c r="I47" s="539">
        <f t="shared" ref="I47:I78" si="13">+F47-D47</f>
        <v>-8000</v>
      </c>
      <c r="J47" s="1592">
        <f t="shared" ref="J47:J71" si="14">+F47/D47-1</f>
        <v>-0.4</v>
      </c>
    </row>
    <row r="48" spans="1:10" ht="14.1" customHeight="1">
      <c r="A48" s="540" t="s">
        <v>254</v>
      </c>
      <c r="B48" s="1593">
        <v>64103</v>
      </c>
      <c r="C48" s="1586">
        <v>15000</v>
      </c>
      <c r="D48" s="1586">
        <v>1000000</v>
      </c>
      <c r="E48" s="1586">
        <v>426597</v>
      </c>
      <c r="F48" s="1587">
        <v>0</v>
      </c>
      <c r="G48" s="1593">
        <f t="shared" si="11"/>
        <v>935897</v>
      </c>
      <c r="H48" s="1594">
        <v>0</v>
      </c>
      <c r="I48" s="541">
        <f t="shared" si="13"/>
        <v>-1000000</v>
      </c>
      <c r="J48" s="1594">
        <f t="shared" si="14"/>
        <v>-1</v>
      </c>
    </row>
    <row r="49" spans="1:10" ht="14.1" customHeight="1">
      <c r="A49" s="540" t="s">
        <v>34</v>
      </c>
      <c r="B49" s="1593">
        <v>0</v>
      </c>
      <c r="C49" s="1586">
        <v>0</v>
      </c>
      <c r="D49" s="1586">
        <v>0</v>
      </c>
      <c r="E49" s="1586">
        <v>0</v>
      </c>
      <c r="F49" s="1587">
        <v>12000</v>
      </c>
      <c r="G49" s="1593">
        <f t="shared" si="11"/>
        <v>0</v>
      </c>
      <c r="H49" s="1594">
        <v>0</v>
      </c>
      <c r="I49" s="541">
        <f t="shared" si="13"/>
        <v>12000</v>
      </c>
      <c r="J49" s="1594">
        <v>0</v>
      </c>
    </row>
    <row r="50" spans="1:10" ht="14.1" customHeight="1">
      <c r="A50" s="540" t="s">
        <v>28</v>
      </c>
      <c r="B50" s="1593">
        <v>0</v>
      </c>
      <c r="C50" s="1586">
        <v>16620</v>
      </c>
      <c r="D50" s="1586">
        <v>0</v>
      </c>
      <c r="E50" s="1586">
        <v>0</v>
      </c>
      <c r="F50" s="1587">
        <v>0</v>
      </c>
      <c r="G50" s="1593">
        <f t="shared" si="11"/>
        <v>0</v>
      </c>
      <c r="H50" s="1594">
        <v>0</v>
      </c>
      <c r="I50" s="541">
        <f t="shared" si="13"/>
        <v>0</v>
      </c>
      <c r="J50" s="1594">
        <v>0</v>
      </c>
    </row>
    <row r="51" spans="1:10" ht="14.1" customHeight="1">
      <c r="A51" s="540" t="s">
        <v>25</v>
      </c>
      <c r="B51" s="1593">
        <v>0</v>
      </c>
      <c r="C51" s="1586">
        <v>20000</v>
      </c>
      <c r="D51" s="1586">
        <v>0</v>
      </c>
      <c r="E51" s="1586">
        <v>0</v>
      </c>
      <c r="F51" s="1587">
        <v>0</v>
      </c>
      <c r="G51" s="1593">
        <f t="shared" si="11"/>
        <v>0</v>
      </c>
      <c r="H51" s="1594">
        <v>0</v>
      </c>
      <c r="I51" s="541">
        <f t="shared" si="13"/>
        <v>0</v>
      </c>
      <c r="J51" s="1594">
        <v>0</v>
      </c>
    </row>
    <row r="52" spans="1:10" ht="14.1" customHeight="1">
      <c r="A52" s="540" t="s">
        <v>251</v>
      </c>
      <c r="B52" s="1593">
        <v>0</v>
      </c>
      <c r="C52" s="1586">
        <v>0</v>
      </c>
      <c r="D52" s="1586">
        <v>397500</v>
      </c>
      <c r="E52" s="1586">
        <v>399576</v>
      </c>
      <c r="F52" s="1587">
        <v>267880</v>
      </c>
      <c r="G52" s="1593">
        <f t="shared" si="11"/>
        <v>397500</v>
      </c>
      <c r="H52" s="1594">
        <v>0</v>
      </c>
      <c r="I52" s="541">
        <f t="shared" si="13"/>
        <v>-129620</v>
      </c>
      <c r="J52" s="1594">
        <f t="shared" si="14"/>
        <v>-0.32608805031446542</v>
      </c>
    </row>
    <row r="53" spans="1:10" ht="14.1" customHeight="1">
      <c r="A53" s="540" t="s">
        <v>264</v>
      </c>
      <c r="B53" s="1593">
        <v>8000</v>
      </c>
      <c r="C53" s="1586">
        <v>15200</v>
      </c>
      <c r="D53" s="1586">
        <v>12000</v>
      </c>
      <c r="E53" s="1586">
        <v>141893</v>
      </c>
      <c r="F53" s="1587">
        <v>60094</v>
      </c>
      <c r="G53" s="1593">
        <f t="shared" si="11"/>
        <v>4000</v>
      </c>
      <c r="H53" s="1594">
        <f t="shared" si="12"/>
        <v>0.5</v>
      </c>
      <c r="I53" s="541">
        <f t="shared" si="13"/>
        <v>48094</v>
      </c>
      <c r="J53" s="1594">
        <f t="shared" si="14"/>
        <v>4.0078333333333331</v>
      </c>
    </row>
    <row r="54" spans="1:10" ht="14.1" customHeight="1">
      <c r="A54" s="540" t="s">
        <v>30</v>
      </c>
      <c r="B54" s="1593">
        <v>0</v>
      </c>
      <c r="C54" s="1586">
        <v>0</v>
      </c>
      <c r="D54" s="1586">
        <v>0</v>
      </c>
      <c r="E54" s="1586">
        <v>0</v>
      </c>
      <c r="F54" s="1587">
        <v>0</v>
      </c>
      <c r="G54" s="1593">
        <f t="shared" si="11"/>
        <v>0</v>
      </c>
      <c r="H54" s="1594">
        <v>0</v>
      </c>
      <c r="I54" s="541">
        <f t="shared" si="13"/>
        <v>0</v>
      </c>
      <c r="J54" s="1594">
        <v>0</v>
      </c>
    </row>
    <row r="55" spans="1:10" ht="14.1" customHeight="1">
      <c r="A55" s="540" t="s">
        <v>260</v>
      </c>
      <c r="B55" s="1593">
        <v>1353899</v>
      </c>
      <c r="C55" s="1586">
        <v>1752725</v>
      </c>
      <c r="D55" s="1586">
        <v>15999287</v>
      </c>
      <c r="E55" s="1586">
        <v>16593612</v>
      </c>
      <c r="F55" s="1587">
        <v>1774424</v>
      </c>
      <c r="G55" s="1593">
        <f t="shared" si="11"/>
        <v>14645388</v>
      </c>
      <c r="H55" s="1594">
        <f t="shared" si="12"/>
        <v>10.817193897033679</v>
      </c>
      <c r="I55" s="541">
        <f t="shared" si="13"/>
        <v>-14224863</v>
      </c>
      <c r="J55" s="1594">
        <f t="shared" si="14"/>
        <v>-0.88909355773166643</v>
      </c>
    </row>
    <row r="56" spans="1:10" ht="14.1" customHeight="1">
      <c r="A56" s="540" t="s">
        <v>258</v>
      </c>
      <c r="B56" s="1593">
        <v>0</v>
      </c>
      <c r="C56" s="1586">
        <v>0</v>
      </c>
      <c r="D56" s="1586">
        <v>0</v>
      </c>
      <c r="E56" s="1586">
        <v>470</v>
      </c>
      <c r="F56" s="1587">
        <v>0</v>
      </c>
      <c r="G56" s="1593">
        <f t="shared" si="11"/>
        <v>0</v>
      </c>
      <c r="H56" s="1594">
        <v>0</v>
      </c>
      <c r="I56" s="541">
        <f t="shared" si="13"/>
        <v>0</v>
      </c>
      <c r="J56" s="1594">
        <v>0</v>
      </c>
    </row>
    <row r="57" spans="1:10" ht="14.1" customHeight="1">
      <c r="A57" s="540" t="s">
        <v>255</v>
      </c>
      <c r="B57" s="1593">
        <v>165000</v>
      </c>
      <c r="C57" s="1586">
        <v>118996</v>
      </c>
      <c r="D57" s="1586">
        <v>142000</v>
      </c>
      <c r="E57" s="1586">
        <v>320837</v>
      </c>
      <c r="F57" s="1587">
        <v>77885</v>
      </c>
      <c r="G57" s="1593">
        <f t="shared" si="11"/>
        <v>-23000</v>
      </c>
      <c r="H57" s="1594">
        <f t="shared" si="12"/>
        <v>-0.1393939393939394</v>
      </c>
      <c r="I57" s="541">
        <f t="shared" si="13"/>
        <v>-64115</v>
      </c>
      <c r="J57" s="1594">
        <f t="shared" si="14"/>
        <v>-0.45151408450704222</v>
      </c>
    </row>
    <row r="58" spans="1:10" ht="14.1" customHeight="1">
      <c r="A58" s="540" t="s">
        <v>262</v>
      </c>
      <c r="B58" s="1593">
        <v>0</v>
      </c>
      <c r="C58" s="1586">
        <v>0</v>
      </c>
      <c r="D58" s="1586">
        <v>0</v>
      </c>
      <c r="E58" s="1586">
        <v>0</v>
      </c>
      <c r="F58" s="1587">
        <v>10000</v>
      </c>
      <c r="G58" s="1593">
        <f t="shared" si="11"/>
        <v>0</v>
      </c>
      <c r="H58" s="1594">
        <v>0</v>
      </c>
      <c r="I58" s="541">
        <f t="shared" si="13"/>
        <v>10000</v>
      </c>
      <c r="J58" s="1594">
        <v>0</v>
      </c>
    </row>
    <row r="59" spans="1:10" ht="14.1" customHeight="1">
      <c r="A59" s="540" t="s">
        <v>37</v>
      </c>
      <c r="B59" s="1593">
        <v>0</v>
      </c>
      <c r="C59" s="1586">
        <v>0</v>
      </c>
      <c r="D59" s="1586">
        <v>331875</v>
      </c>
      <c r="E59" s="1586">
        <v>0</v>
      </c>
      <c r="F59" s="1587">
        <v>107000</v>
      </c>
      <c r="G59" s="1593">
        <f t="shared" si="11"/>
        <v>331875</v>
      </c>
      <c r="H59" s="1594">
        <v>0</v>
      </c>
      <c r="I59" s="541">
        <f t="shared" si="13"/>
        <v>-224875</v>
      </c>
      <c r="J59" s="1594">
        <f t="shared" si="14"/>
        <v>-0.67758945386064029</v>
      </c>
    </row>
    <row r="60" spans="1:10" ht="14.1" customHeight="1">
      <c r="A60" s="540" t="s">
        <v>33</v>
      </c>
      <c r="B60" s="1593">
        <v>0</v>
      </c>
      <c r="C60" s="1586">
        <v>0</v>
      </c>
      <c r="D60" s="1586">
        <v>50000</v>
      </c>
      <c r="E60" s="1586">
        <v>0</v>
      </c>
      <c r="F60" s="1587"/>
      <c r="G60" s="1593">
        <f t="shared" si="11"/>
        <v>50000</v>
      </c>
      <c r="H60" s="1594">
        <v>0</v>
      </c>
      <c r="I60" s="541">
        <f t="shared" si="13"/>
        <v>-50000</v>
      </c>
      <c r="J60" s="1594">
        <f t="shared" si="14"/>
        <v>-1</v>
      </c>
    </row>
    <row r="61" spans="1:10" ht="14.1" customHeight="1">
      <c r="A61" s="540" t="s">
        <v>29</v>
      </c>
      <c r="B61" s="1593">
        <v>0</v>
      </c>
      <c r="C61" s="1586">
        <v>37300</v>
      </c>
      <c r="D61" s="1586">
        <v>0</v>
      </c>
      <c r="E61" s="1586">
        <v>0</v>
      </c>
      <c r="F61" s="1587">
        <v>0</v>
      </c>
      <c r="G61" s="1593">
        <f t="shared" si="11"/>
        <v>0</v>
      </c>
      <c r="H61" s="1594">
        <v>0</v>
      </c>
      <c r="I61" s="541">
        <f t="shared" si="13"/>
        <v>0</v>
      </c>
      <c r="J61" s="1594">
        <v>0</v>
      </c>
    </row>
    <row r="62" spans="1:10" ht="14.1" customHeight="1">
      <c r="A62" s="540" t="s">
        <v>27</v>
      </c>
      <c r="B62" s="1593">
        <v>0</v>
      </c>
      <c r="C62" s="1586">
        <v>0</v>
      </c>
      <c r="D62" s="1586">
        <v>0</v>
      </c>
      <c r="E62" s="1586">
        <v>0</v>
      </c>
      <c r="F62" s="1587">
        <v>77645</v>
      </c>
      <c r="G62" s="1593">
        <f t="shared" si="11"/>
        <v>0</v>
      </c>
      <c r="H62" s="1594">
        <v>0</v>
      </c>
      <c r="I62" s="541">
        <f t="shared" si="13"/>
        <v>77645</v>
      </c>
      <c r="J62" s="1594">
        <v>0</v>
      </c>
    </row>
    <row r="63" spans="1:10" ht="14.1" customHeight="1">
      <c r="A63" s="540" t="s">
        <v>256</v>
      </c>
      <c r="B63" s="1593">
        <v>0</v>
      </c>
      <c r="C63" s="1586">
        <v>0</v>
      </c>
      <c r="D63" s="1586">
        <v>0</v>
      </c>
      <c r="E63" s="1586">
        <v>67333</v>
      </c>
      <c r="F63" s="1587">
        <v>0</v>
      </c>
      <c r="G63" s="1593">
        <f t="shared" si="11"/>
        <v>0</v>
      </c>
      <c r="H63" s="1594">
        <v>0</v>
      </c>
      <c r="I63" s="541">
        <f t="shared" si="13"/>
        <v>0</v>
      </c>
      <c r="J63" s="1594">
        <v>0</v>
      </c>
    </row>
    <row r="64" spans="1:10" ht="14.1" customHeight="1">
      <c r="A64" s="540" t="s">
        <v>38</v>
      </c>
      <c r="B64" s="1593">
        <v>0</v>
      </c>
      <c r="C64" s="1586">
        <v>3000</v>
      </c>
      <c r="D64" s="1586">
        <v>2000</v>
      </c>
      <c r="E64" s="1586">
        <v>0</v>
      </c>
      <c r="F64" s="1587">
        <v>190520</v>
      </c>
      <c r="G64" s="1593">
        <f t="shared" si="11"/>
        <v>2000</v>
      </c>
      <c r="H64" s="1594">
        <v>0</v>
      </c>
      <c r="I64" s="541">
        <f t="shared" si="13"/>
        <v>188520</v>
      </c>
      <c r="J64" s="1594">
        <f t="shared" si="14"/>
        <v>94.26</v>
      </c>
    </row>
    <row r="65" spans="1:10" ht="14.1" customHeight="1">
      <c r="A65" s="540" t="s">
        <v>41</v>
      </c>
      <c r="B65" s="1593">
        <v>0</v>
      </c>
      <c r="C65" s="1586">
        <v>403250</v>
      </c>
      <c r="D65" s="1586">
        <v>70362</v>
      </c>
      <c r="E65" s="1586">
        <v>0</v>
      </c>
      <c r="F65" s="1587">
        <v>0</v>
      </c>
      <c r="G65" s="1593">
        <f t="shared" si="11"/>
        <v>70362</v>
      </c>
      <c r="H65" s="1594">
        <v>0</v>
      </c>
      <c r="I65" s="541">
        <f t="shared" si="13"/>
        <v>-70362</v>
      </c>
      <c r="J65" s="1594">
        <v>0</v>
      </c>
    </row>
    <row r="66" spans="1:10" ht="14.1" customHeight="1">
      <c r="A66" s="540" t="s">
        <v>253</v>
      </c>
      <c r="B66" s="1593">
        <v>0</v>
      </c>
      <c r="C66" s="1586">
        <v>0</v>
      </c>
      <c r="D66" s="1586">
        <v>0</v>
      </c>
      <c r="E66" s="1586">
        <v>131381</v>
      </c>
      <c r="F66" s="1587">
        <v>0</v>
      </c>
      <c r="G66" s="1593">
        <f t="shared" si="11"/>
        <v>0</v>
      </c>
      <c r="H66" s="1594">
        <v>0</v>
      </c>
      <c r="I66" s="541">
        <f t="shared" si="13"/>
        <v>0</v>
      </c>
      <c r="J66" s="1594">
        <v>0</v>
      </c>
    </row>
    <row r="67" spans="1:10" ht="14.1" customHeight="1">
      <c r="A67" s="540" t="s">
        <v>257</v>
      </c>
      <c r="B67" s="1593">
        <v>232105</v>
      </c>
      <c r="C67" s="1586">
        <v>229105</v>
      </c>
      <c r="D67" s="1586">
        <v>1617562</v>
      </c>
      <c r="E67" s="1586">
        <v>1409223</v>
      </c>
      <c r="F67" s="1587">
        <v>1492552</v>
      </c>
      <c r="G67" s="1593">
        <f t="shared" si="11"/>
        <v>1385457</v>
      </c>
      <c r="H67" s="1594">
        <f t="shared" si="12"/>
        <v>5.9690958833286656</v>
      </c>
      <c r="I67" s="541">
        <f t="shared" si="13"/>
        <v>-125010</v>
      </c>
      <c r="J67" s="1594">
        <f t="shared" si="14"/>
        <v>-7.7282972770131853E-2</v>
      </c>
    </row>
    <row r="68" spans="1:10" ht="14.1" customHeight="1">
      <c r="A68" s="540" t="s">
        <v>250</v>
      </c>
      <c r="B68" s="1593">
        <v>1083969</v>
      </c>
      <c r="C68" s="1586">
        <v>991141</v>
      </c>
      <c r="D68" s="1586">
        <v>1327768</v>
      </c>
      <c r="E68" s="1586">
        <v>1214100</v>
      </c>
      <c r="F68" s="1587">
        <v>1278923</v>
      </c>
      <c r="G68" s="1593">
        <f t="shared" si="11"/>
        <v>243799</v>
      </c>
      <c r="H68" s="1594">
        <f t="shared" si="12"/>
        <v>0.2249132585894984</v>
      </c>
      <c r="I68" s="541">
        <f t="shared" si="13"/>
        <v>-48845</v>
      </c>
      <c r="J68" s="1594">
        <f t="shared" si="14"/>
        <v>-3.6787300190997185E-2</v>
      </c>
    </row>
    <row r="69" spans="1:10" ht="14.1" customHeight="1">
      <c r="A69" s="540" t="s">
        <v>252</v>
      </c>
      <c r="B69" s="1593">
        <v>0</v>
      </c>
      <c r="C69" s="1586">
        <v>0</v>
      </c>
      <c r="D69" s="1586">
        <v>420000</v>
      </c>
      <c r="E69" s="1586">
        <v>420000</v>
      </c>
      <c r="F69" s="1587">
        <v>660000</v>
      </c>
      <c r="G69" s="1593">
        <f t="shared" si="11"/>
        <v>420000</v>
      </c>
      <c r="H69" s="1594">
        <v>0</v>
      </c>
      <c r="I69" s="541">
        <f t="shared" si="13"/>
        <v>240000</v>
      </c>
      <c r="J69" s="1594">
        <f t="shared" si="14"/>
        <v>0.5714285714285714</v>
      </c>
    </row>
    <row r="70" spans="1:10" ht="14.1" customHeight="1">
      <c r="A70" s="540" t="s">
        <v>26</v>
      </c>
      <c r="B70" s="1593">
        <v>0</v>
      </c>
      <c r="C70" s="1586">
        <v>0</v>
      </c>
      <c r="D70" s="1586">
        <v>0</v>
      </c>
      <c r="E70" s="1586">
        <v>0</v>
      </c>
      <c r="F70" s="1587"/>
      <c r="G70" s="1593">
        <f t="shared" si="11"/>
        <v>0</v>
      </c>
      <c r="H70" s="1594">
        <v>0</v>
      </c>
      <c r="I70" s="541">
        <f t="shared" si="13"/>
        <v>0</v>
      </c>
      <c r="J70" s="1594">
        <v>0</v>
      </c>
    </row>
    <row r="71" spans="1:10" ht="14.1" customHeight="1">
      <c r="A71" s="540" t="s">
        <v>259</v>
      </c>
      <c r="B71" s="1593">
        <v>8503456</v>
      </c>
      <c r="C71" s="1586">
        <v>7950627</v>
      </c>
      <c r="D71" s="1586">
        <v>9319654</v>
      </c>
      <c r="E71" s="1586">
        <v>7160857</v>
      </c>
      <c r="F71" s="1587">
        <v>2637599</v>
      </c>
      <c r="G71" s="1593">
        <f t="shared" si="11"/>
        <v>816198</v>
      </c>
      <c r="H71" s="1594">
        <f t="shared" si="12"/>
        <v>9.5984268043487253E-2</v>
      </c>
      <c r="I71" s="541">
        <f t="shared" si="13"/>
        <v>-6682055</v>
      </c>
      <c r="J71" s="1594">
        <f t="shared" si="14"/>
        <v>-0.71698530868206056</v>
      </c>
    </row>
    <row r="72" spans="1:10" ht="14.1" customHeight="1">
      <c r="A72" s="540" t="s">
        <v>261</v>
      </c>
      <c r="B72" s="1593">
        <v>0</v>
      </c>
      <c r="C72" s="1586">
        <v>0</v>
      </c>
      <c r="D72" s="1586">
        <v>0</v>
      </c>
      <c r="E72" s="1586">
        <v>205423</v>
      </c>
      <c r="F72" s="1587">
        <v>55000</v>
      </c>
      <c r="G72" s="1593">
        <f t="shared" si="11"/>
        <v>0</v>
      </c>
      <c r="H72" s="1594">
        <v>0</v>
      </c>
      <c r="I72" s="541">
        <f t="shared" si="13"/>
        <v>55000</v>
      </c>
      <c r="J72" s="1594">
        <v>0</v>
      </c>
    </row>
    <row r="73" spans="1:10" ht="14.1" customHeight="1">
      <c r="A73" s="540" t="s">
        <v>249</v>
      </c>
      <c r="B73" s="1593">
        <v>0</v>
      </c>
      <c r="C73" s="1586">
        <v>0</v>
      </c>
      <c r="D73" s="1586">
        <v>0</v>
      </c>
      <c r="E73" s="1586">
        <v>38279</v>
      </c>
      <c r="F73" s="1587">
        <v>0</v>
      </c>
      <c r="G73" s="1593">
        <f t="shared" si="11"/>
        <v>0</v>
      </c>
      <c r="H73" s="1594">
        <v>0</v>
      </c>
      <c r="I73" s="541">
        <f t="shared" si="13"/>
        <v>0</v>
      </c>
      <c r="J73" s="1594">
        <v>0</v>
      </c>
    </row>
    <row r="74" spans="1:10" ht="14.1" customHeight="1">
      <c r="A74" s="540" t="s">
        <v>263</v>
      </c>
      <c r="B74" s="1593">
        <v>0</v>
      </c>
      <c r="C74" s="1586">
        <v>0</v>
      </c>
      <c r="D74" s="1586">
        <v>0</v>
      </c>
      <c r="E74" s="1586">
        <v>0</v>
      </c>
      <c r="F74" s="1587">
        <v>0</v>
      </c>
      <c r="G74" s="1593">
        <f t="shared" si="11"/>
        <v>0</v>
      </c>
      <c r="H74" s="1594">
        <v>0</v>
      </c>
      <c r="I74" s="541">
        <f t="shared" si="13"/>
        <v>0</v>
      </c>
      <c r="J74" s="1594">
        <v>0</v>
      </c>
    </row>
    <row r="75" spans="1:10" ht="14.1" customHeight="1">
      <c r="A75" s="540" t="s">
        <v>36</v>
      </c>
      <c r="B75" s="1593">
        <v>0</v>
      </c>
      <c r="C75" s="1586">
        <v>0</v>
      </c>
      <c r="D75" s="1586">
        <v>0</v>
      </c>
      <c r="E75" s="1586">
        <v>0</v>
      </c>
      <c r="F75" s="1587">
        <v>0</v>
      </c>
      <c r="G75" s="1593">
        <f t="shared" si="11"/>
        <v>0</v>
      </c>
      <c r="H75" s="1594">
        <v>0</v>
      </c>
      <c r="I75" s="541">
        <f t="shared" si="13"/>
        <v>0</v>
      </c>
      <c r="J75" s="1594">
        <v>0</v>
      </c>
    </row>
    <row r="76" spans="1:10" ht="14.1" customHeight="1">
      <c r="A76" s="540" t="s">
        <v>248</v>
      </c>
      <c r="B76" s="1593">
        <v>50000</v>
      </c>
      <c r="C76" s="1586">
        <v>0</v>
      </c>
      <c r="D76" s="1586">
        <v>0</v>
      </c>
      <c r="E76" s="1586">
        <v>45000</v>
      </c>
      <c r="F76" s="1587">
        <v>0</v>
      </c>
      <c r="G76" s="1593">
        <f t="shared" si="11"/>
        <v>-50000</v>
      </c>
      <c r="H76" s="1594">
        <v>0</v>
      </c>
      <c r="I76" s="541">
        <f t="shared" si="13"/>
        <v>0</v>
      </c>
      <c r="J76" s="1594">
        <v>0</v>
      </c>
    </row>
    <row r="77" spans="1:10" ht="14.1" customHeight="1">
      <c r="A77" s="540" t="s">
        <v>39</v>
      </c>
      <c r="B77" s="1593">
        <v>0</v>
      </c>
      <c r="C77" s="1586">
        <v>220320</v>
      </c>
      <c r="D77" s="1586">
        <v>0</v>
      </c>
      <c r="E77" s="1586">
        <v>0</v>
      </c>
      <c r="F77" s="1587">
        <v>0</v>
      </c>
      <c r="G77" s="1593">
        <f t="shared" si="11"/>
        <v>0</v>
      </c>
      <c r="H77" s="1594">
        <v>0</v>
      </c>
      <c r="I77" s="541">
        <f t="shared" si="13"/>
        <v>0</v>
      </c>
      <c r="J77" s="1594">
        <v>0</v>
      </c>
    </row>
    <row r="78" spans="1:10" ht="14.1" customHeight="1" thickBot="1">
      <c r="A78" s="542" t="s">
        <v>910</v>
      </c>
      <c r="B78" s="1595"/>
      <c r="C78" s="1589"/>
      <c r="D78" s="1589"/>
      <c r="E78" s="1589">
        <v>0</v>
      </c>
      <c r="F78" s="1590">
        <v>0</v>
      </c>
      <c r="G78" s="1595">
        <f t="shared" si="11"/>
        <v>0</v>
      </c>
      <c r="H78" s="1596">
        <v>0</v>
      </c>
      <c r="I78" s="543">
        <f t="shared" si="13"/>
        <v>0</v>
      </c>
      <c r="J78" s="1596">
        <v>0</v>
      </c>
    </row>
    <row r="79" spans="1:10" ht="15.75" customHeight="1" thickBot="1">
      <c r="A79" s="535" t="s">
        <v>54</v>
      </c>
      <c r="B79" s="1580">
        <f>SUM(B47:B78)</f>
        <v>11484532</v>
      </c>
      <c r="C79" s="1581">
        <f t="shared" ref="C79:I79" si="15">SUM(C47:C78)</f>
        <v>11809284</v>
      </c>
      <c r="D79" s="1581">
        <f t="shared" si="15"/>
        <v>30710008</v>
      </c>
      <c r="E79" s="1581">
        <f>SUM(E47:E78)</f>
        <v>28598181</v>
      </c>
      <c r="F79" s="536">
        <f t="shared" si="15"/>
        <v>8713522</v>
      </c>
      <c r="G79" s="1580">
        <f t="shared" si="15"/>
        <v>19225476</v>
      </c>
      <c r="H79" s="1597">
        <f t="shared" si="12"/>
        <v>1.6740321677888135</v>
      </c>
      <c r="I79" s="532">
        <f t="shared" si="15"/>
        <v>-21996486</v>
      </c>
      <c r="J79" s="1597">
        <f>+F79/D79-1</f>
        <v>-0.71626441777546912</v>
      </c>
    </row>
    <row r="80" spans="1:10" ht="12.75">
      <c r="A80" s="537" t="s">
        <v>56</v>
      </c>
      <c r="B80" s="533"/>
      <c r="C80" s="533"/>
      <c r="D80" s="533"/>
      <c r="E80" s="533"/>
      <c r="F80" s="533"/>
      <c r="G80" s="533"/>
      <c r="H80" s="533"/>
      <c r="I80" s="533"/>
      <c r="J80" s="783"/>
    </row>
    <row r="81" spans="1:10" ht="12.75">
      <c r="A81" s="537" t="s">
        <v>332</v>
      </c>
      <c r="B81" s="538"/>
      <c r="C81" s="538"/>
      <c r="D81" s="538"/>
      <c r="E81" s="538"/>
      <c r="F81" s="538"/>
      <c r="G81" s="538"/>
      <c r="H81" s="538"/>
      <c r="I81" s="538"/>
      <c r="J81" s="783"/>
    </row>
    <row r="82" spans="1:10" ht="12.75">
      <c r="A82" s="537" t="s">
        <v>158</v>
      </c>
      <c r="B82" s="533"/>
      <c r="C82" s="533"/>
      <c r="D82" s="533"/>
      <c r="E82" s="533"/>
      <c r="F82" s="533"/>
      <c r="G82" s="533"/>
      <c r="H82" s="533"/>
      <c r="I82" s="533"/>
      <c r="J82" s="783"/>
    </row>
    <row r="85" spans="1:10" ht="13.5" thickBot="1">
      <c r="A85" s="534" t="s">
        <v>911</v>
      </c>
      <c r="B85" s="785"/>
      <c r="C85" s="783"/>
      <c r="D85" s="783"/>
      <c r="E85" s="785"/>
      <c r="F85" s="783"/>
      <c r="G85" s="783"/>
      <c r="H85" s="783"/>
      <c r="I85" s="783"/>
      <c r="J85" s="783"/>
    </row>
    <row r="86" spans="1:10" ht="12.75" customHeight="1" thickBot="1">
      <c r="A86" s="1743" t="s">
        <v>32</v>
      </c>
      <c r="B86" s="1739" t="s">
        <v>329</v>
      </c>
      <c r="C86" s="1746" t="s">
        <v>402</v>
      </c>
      <c r="D86" s="1746" t="s">
        <v>403</v>
      </c>
      <c r="E86" s="1746" t="s">
        <v>404</v>
      </c>
      <c r="F86" s="1741" t="s">
        <v>405</v>
      </c>
      <c r="G86" s="1739" t="s">
        <v>330</v>
      </c>
      <c r="H86" s="1741" t="s">
        <v>331</v>
      </c>
      <c r="I86" s="1739" t="s">
        <v>407</v>
      </c>
      <c r="J86" s="1741" t="s">
        <v>406</v>
      </c>
    </row>
    <row r="87" spans="1:10" ht="31.5" customHeight="1" thickBot="1">
      <c r="A87" s="1744"/>
      <c r="B87" s="1745"/>
      <c r="C87" s="1747"/>
      <c r="D87" s="1747"/>
      <c r="E87" s="1747"/>
      <c r="F87" s="1742"/>
      <c r="G87" s="1740"/>
      <c r="H87" s="1742"/>
      <c r="I87" s="1740"/>
      <c r="J87" s="1742"/>
    </row>
    <row r="88" spans="1:10" ht="14.1" customHeight="1">
      <c r="A88" s="544" t="s">
        <v>35</v>
      </c>
      <c r="B88" s="1565">
        <f>167428+87822+131533</f>
        <v>386783</v>
      </c>
      <c r="C88" s="1582">
        <f>195364+79614+131483</f>
        <v>406461</v>
      </c>
      <c r="D88" s="1583">
        <v>1799497</v>
      </c>
      <c r="E88" s="1583">
        <v>218316</v>
      </c>
      <c r="F88" s="1584">
        <f>106707</f>
        <v>106707</v>
      </c>
      <c r="G88" s="1591">
        <f t="shared" ref="G88:G119" si="16">+D88-B88</f>
        <v>1412714</v>
      </c>
      <c r="H88" s="1592">
        <f t="shared" ref="H88:H120" si="17">+D88/B88-1</f>
        <v>3.6524717994327567</v>
      </c>
      <c r="I88" s="539">
        <f t="shared" ref="I88:I119" si="18">+F88-D88</f>
        <v>-1692790</v>
      </c>
      <c r="J88" s="1592">
        <f t="shared" ref="J88:J118" si="19">+F88/D88-1</f>
        <v>-0.94070176277037421</v>
      </c>
    </row>
    <row r="89" spans="1:10" ht="14.1" customHeight="1">
      <c r="A89" s="545" t="s">
        <v>254</v>
      </c>
      <c r="B89" s="1566">
        <f>3477478+15000+100000+2651070</f>
        <v>6243548</v>
      </c>
      <c r="C89" s="1585">
        <f>2828192+66026+15000+100000+2613906</f>
        <v>5623124</v>
      </c>
      <c r="D89" s="1586">
        <v>4847055</v>
      </c>
      <c r="E89" s="1586">
        <v>7974313</v>
      </c>
      <c r="F89" s="1587">
        <f>1066890+417576+53229</f>
        <v>1537695</v>
      </c>
      <c r="G89" s="1593">
        <f t="shared" si="16"/>
        <v>-1396493</v>
      </c>
      <c r="H89" s="1594">
        <f t="shared" si="17"/>
        <v>-0.22366977878603644</v>
      </c>
      <c r="I89" s="541">
        <f t="shared" si="18"/>
        <v>-3309360</v>
      </c>
      <c r="J89" s="1594">
        <f t="shared" si="19"/>
        <v>-0.68275684926207769</v>
      </c>
    </row>
    <row r="90" spans="1:10" ht="14.1" customHeight="1">
      <c r="A90" s="545" t="s">
        <v>34</v>
      </c>
      <c r="B90" s="1566">
        <v>0</v>
      </c>
      <c r="C90" s="1585">
        <v>0</v>
      </c>
      <c r="D90" s="1586">
        <v>0</v>
      </c>
      <c r="E90" s="1586">
        <v>0</v>
      </c>
      <c r="F90" s="1587">
        <v>0</v>
      </c>
      <c r="G90" s="1593">
        <f t="shared" si="16"/>
        <v>0</v>
      </c>
      <c r="H90" s="1594">
        <v>0</v>
      </c>
      <c r="I90" s="541">
        <f t="shared" si="18"/>
        <v>0</v>
      </c>
      <c r="J90" s="1594">
        <v>0</v>
      </c>
    </row>
    <row r="91" spans="1:10" ht="14.1" customHeight="1">
      <c r="A91" s="545" t="s">
        <v>28</v>
      </c>
      <c r="B91" s="1566">
        <v>1718606</v>
      </c>
      <c r="C91" s="1585">
        <v>1319919</v>
      </c>
      <c r="D91" s="1586">
        <v>0</v>
      </c>
      <c r="E91" s="1586">
        <v>0</v>
      </c>
      <c r="F91" s="1587">
        <v>0</v>
      </c>
      <c r="G91" s="1593">
        <f t="shared" si="16"/>
        <v>-1718606</v>
      </c>
      <c r="H91" s="1594">
        <v>0</v>
      </c>
      <c r="I91" s="541">
        <f t="shared" si="18"/>
        <v>0</v>
      </c>
      <c r="J91" s="1594">
        <v>0</v>
      </c>
    </row>
    <row r="92" spans="1:10" ht="14.1" customHeight="1">
      <c r="A92" s="545" t="s">
        <v>25</v>
      </c>
      <c r="B92" s="1566">
        <f>355082+466676</f>
        <v>821758</v>
      </c>
      <c r="C92" s="1585">
        <f>354834+442514</f>
        <v>797348</v>
      </c>
      <c r="D92" s="1586">
        <v>1219744</v>
      </c>
      <c r="E92" s="1586">
        <v>0</v>
      </c>
      <c r="F92" s="1587">
        <v>0</v>
      </c>
      <c r="G92" s="1593">
        <f t="shared" si="16"/>
        <v>397986</v>
      </c>
      <c r="H92" s="1594">
        <f t="shared" si="17"/>
        <v>0.48431046609829176</v>
      </c>
      <c r="I92" s="541">
        <f t="shared" si="18"/>
        <v>-1219744</v>
      </c>
      <c r="J92" s="1594">
        <f t="shared" si="19"/>
        <v>-1</v>
      </c>
    </row>
    <row r="93" spans="1:10" ht="14.1" customHeight="1">
      <c r="A93" s="545" t="s">
        <v>251</v>
      </c>
      <c r="B93" s="1566">
        <f>24830+457451+100000</f>
        <v>582281</v>
      </c>
      <c r="C93" s="1585">
        <f>5000+716080+100000</f>
        <v>821080</v>
      </c>
      <c r="D93" s="1586">
        <v>184041</v>
      </c>
      <c r="E93" s="1586">
        <v>1478512</v>
      </c>
      <c r="F93" s="1587">
        <f>495315</f>
        <v>495315</v>
      </c>
      <c r="G93" s="1593">
        <f t="shared" si="16"/>
        <v>-398240</v>
      </c>
      <c r="H93" s="1594">
        <f t="shared" si="17"/>
        <v>-0.68393095429869777</v>
      </c>
      <c r="I93" s="541">
        <f t="shared" si="18"/>
        <v>311274</v>
      </c>
      <c r="J93" s="1594">
        <f t="shared" si="19"/>
        <v>1.6913296493716072</v>
      </c>
    </row>
    <row r="94" spans="1:10" ht="14.1" customHeight="1">
      <c r="A94" s="545" t="s">
        <v>264</v>
      </c>
      <c r="B94" s="1566">
        <f>192842+216112+1116448</f>
        <v>1525402</v>
      </c>
      <c r="C94" s="1585">
        <f>248292+282023+1042024</f>
        <v>1572339</v>
      </c>
      <c r="D94" s="1586">
        <v>1361470</v>
      </c>
      <c r="E94" s="1586">
        <v>1557245</v>
      </c>
      <c r="F94" s="1587">
        <f>3544880+143187+324122</f>
        <v>4012189</v>
      </c>
      <c r="G94" s="1593">
        <f t="shared" si="16"/>
        <v>-163932</v>
      </c>
      <c r="H94" s="1594">
        <f t="shared" si="17"/>
        <v>-0.1074680641562028</v>
      </c>
      <c r="I94" s="541">
        <f t="shared" si="18"/>
        <v>2650719</v>
      </c>
      <c r="J94" s="1594">
        <f t="shared" si="19"/>
        <v>1.9469536603817934</v>
      </c>
    </row>
    <row r="95" spans="1:10" ht="14.1" customHeight="1">
      <c r="A95" s="545" t="s">
        <v>30</v>
      </c>
      <c r="B95" s="1566">
        <f>0+786968</f>
        <v>786968</v>
      </c>
      <c r="C95" s="1585">
        <f>119150</f>
        <v>119150</v>
      </c>
      <c r="D95" s="1586">
        <v>221917</v>
      </c>
      <c r="E95" s="1586">
        <v>0</v>
      </c>
      <c r="F95" s="1587">
        <v>0</v>
      </c>
      <c r="G95" s="1593">
        <f t="shared" si="16"/>
        <v>-565051</v>
      </c>
      <c r="H95" s="1594">
        <f t="shared" si="17"/>
        <v>-0.71801013510079192</v>
      </c>
      <c r="I95" s="541">
        <f t="shared" si="18"/>
        <v>-221917</v>
      </c>
      <c r="J95" s="1594">
        <f t="shared" si="19"/>
        <v>-1</v>
      </c>
    </row>
    <row r="96" spans="1:10" ht="14.1" customHeight="1">
      <c r="A96" s="545" t="s">
        <v>260</v>
      </c>
      <c r="B96" s="1566">
        <v>64536002</v>
      </c>
      <c r="C96" s="1585">
        <v>80007828</v>
      </c>
      <c r="D96" s="1586">
        <v>60825889</v>
      </c>
      <c r="E96" s="1586">
        <v>66754010</v>
      </c>
      <c r="F96" s="1587">
        <f>62244683+1877107+35000+765667</f>
        <v>64922457</v>
      </c>
      <c r="G96" s="1593">
        <f t="shared" si="16"/>
        <v>-3710113</v>
      </c>
      <c r="H96" s="1594">
        <f t="shared" si="17"/>
        <v>-5.7489043092567194E-2</v>
      </c>
      <c r="I96" s="541">
        <f t="shared" si="18"/>
        <v>4096568</v>
      </c>
      <c r="J96" s="1594">
        <f t="shared" si="19"/>
        <v>6.7349085518503493E-2</v>
      </c>
    </row>
    <row r="97" spans="1:10" ht="14.1" customHeight="1">
      <c r="A97" s="545" t="s">
        <v>258</v>
      </c>
      <c r="B97" s="1566">
        <f>67844+127496</f>
        <v>195340</v>
      </c>
      <c r="C97" s="1585">
        <f>334564+50551</f>
        <v>385115</v>
      </c>
      <c r="D97" s="1586">
        <v>369387</v>
      </c>
      <c r="E97" s="1586">
        <v>224583</v>
      </c>
      <c r="F97" s="1587">
        <v>83860</v>
      </c>
      <c r="G97" s="1593">
        <f t="shared" si="16"/>
        <v>174047</v>
      </c>
      <c r="H97" s="1594">
        <f t="shared" si="17"/>
        <v>0.89099518787754683</v>
      </c>
      <c r="I97" s="541">
        <f t="shared" si="18"/>
        <v>-285527</v>
      </c>
      <c r="J97" s="1594">
        <f t="shared" si="19"/>
        <v>-0.77297522652394368</v>
      </c>
    </row>
    <row r="98" spans="1:10" ht="14.1" customHeight="1">
      <c r="A98" s="545" t="s">
        <v>255</v>
      </c>
      <c r="B98" s="1566">
        <f>767554+260758+20000+50000+1756394</f>
        <v>2854706</v>
      </c>
      <c r="C98" s="1585">
        <f>820250+354267+76410+50000+13590+1151581</f>
        <v>2466098</v>
      </c>
      <c r="D98" s="1586">
        <v>2595182</v>
      </c>
      <c r="E98" s="1586">
        <v>3332890</v>
      </c>
      <c r="F98" s="1587">
        <f>1272963</f>
        <v>1272963</v>
      </c>
      <c r="G98" s="1593">
        <f t="shared" si="16"/>
        <v>-259524</v>
      </c>
      <c r="H98" s="1594">
        <f t="shared" si="17"/>
        <v>-9.0910937938968095E-2</v>
      </c>
      <c r="I98" s="541">
        <f t="shared" si="18"/>
        <v>-1322219</v>
      </c>
      <c r="J98" s="1594">
        <f t="shared" si="19"/>
        <v>-0.50948989319438875</v>
      </c>
    </row>
    <row r="99" spans="1:10" ht="14.1" customHeight="1">
      <c r="A99" s="545" t="s">
        <v>262</v>
      </c>
      <c r="B99" s="1566">
        <f>30000+1990+3694</f>
        <v>35684</v>
      </c>
      <c r="C99" s="1585">
        <f>81780+1890+394</f>
        <v>84064</v>
      </c>
      <c r="D99" s="1586">
        <v>113830</v>
      </c>
      <c r="E99" s="1586">
        <v>26076</v>
      </c>
      <c r="F99" s="1587">
        <f>990+6100</f>
        <v>7090</v>
      </c>
      <c r="G99" s="1593">
        <f t="shared" si="16"/>
        <v>78146</v>
      </c>
      <c r="H99" s="1594">
        <f t="shared" si="17"/>
        <v>2.1899450734222619</v>
      </c>
      <c r="I99" s="541">
        <f t="shared" si="18"/>
        <v>-106740</v>
      </c>
      <c r="J99" s="1594">
        <f t="shared" si="19"/>
        <v>-0.93771413511376611</v>
      </c>
    </row>
    <row r="100" spans="1:10" ht="14.1" customHeight="1">
      <c r="A100" s="545" t="s">
        <v>37</v>
      </c>
      <c r="B100" s="1566">
        <f>565071+21030+330000+60000+661663</f>
        <v>1637764</v>
      </c>
      <c r="C100" s="1585">
        <f>758819+22270+291000+55000+580200</f>
        <v>1707289</v>
      </c>
      <c r="D100" s="1586">
        <v>6737354</v>
      </c>
      <c r="E100" s="1586">
        <v>0</v>
      </c>
      <c r="F100" s="1587">
        <v>2549540</v>
      </c>
      <c r="G100" s="1593">
        <f t="shared" si="16"/>
        <v>5099590</v>
      </c>
      <c r="H100" s="1594">
        <v>0</v>
      </c>
      <c r="I100" s="541">
        <f t="shared" si="18"/>
        <v>-4187814</v>
      </c>
      <c r="J100" s="1594">
        <v>0</v>
      </c>
    </row>
    <row r="101" spans="1:10" ht="14.1" customHeight="1">
      <c r="A101" s="545" t="s">
        <v>33</v>
      </c>
      <c r="B101" s="1566">
        <f>40000+15000+2852512</f>
        <v>2907512</v>
      </c>
      <c r="C101" s="1585">
        <f>15000+3056000</f>
        <v>3071000</v>
      </c>
      <c r="D101" s="1586">
        <v>3629721</v>
      </c>
      <c r="E101" s="1586">
        <v>0</v>
      </c>
      <c r="F101" s="1587">
        <f>3363626+550000</f>
        <v>3913626</v>
      </c>
      <c r="G101" s="1593">
        <f t="shared" si="16"/>
        <v>722209</v>
      </c>
      <c r="H101" s="1594">
        <f t="shared" si="17"/>
        <v>0.24839415968016643</v>
      </c>
      <c r="I101" s="541">
        <f t="shared" si="18"/>
        <v>283905</v>
      </c>
      <c r="J101" s="1594">
        <f t="shared" si="19"/>
        <v>7.8216755502695579E-2</v>
      </c>
    </row>
    <row r="102" spans="1:10" ht="14.1" customHeight="1">
      <c r="A102" s="545" t="s">
        <v>29</v>
      </c>
      <c r="B102" s="1566">
        <f>2766454+200000+813997</f>
        <v>3780451</v>
      </c>
      <c r="C102" s="1585">
        <f>2852493+255000+462631</f>
        <v>3570124</v>
      </c>
      <c r="D102" s="1586">
        <v>3773771</v>
      </c>
      <c r="E102" s="1586">
        <v>4330350</v>
      </c>
      <c r="F102" s="1587">
        <v>2225694</v>
      </c>
      <c r="G102" s="1593">
        <f t="shared" si="16"/>
        <v>-6680</v>
      </c>
      <c r="H102" s="1594">
        <f t="shared" si="17"/>
        <v>-1.7669849443888719E-3</v>
      </c>
      <c r="I102" s="541">
        <f t="shared" si="18"/>
        <v>-1548077</v>
      </c>
      <c r="J102" s="1594">
        <f t="shared" si="19"/>
        <v>-0.41022017499207031</v>
      </c>
    </row>
    <row r="103" spans="1:10" ht="14.1" customHeight="1">
      <c r="A103" s="545" t="s">
        <v>27</v>
      </c>
      <c r="B103" s="1566">
        <f>408151</f>
        <v>408151</v>
      </c>
      <c r="C103" s="1585">
        <f>481277</f>
        <v>481277</v>
      </c>
      <c r="D103" s="1586">
        <v>373812</v>
      </c>
      <c r="E103" s="1586">
        <v>0</v>
      </c>
      <c r="F103" s="1587">
        <v>1422370</v>
      </c>
      <c r="G103" s="1593">
        <f t="shared" si="16"/>
        <v>-34339</v>
      </c>
      <c r="H103" s="1594">
        <f t="shared" si="17"/>
        <v>-8.4133078198999844E-2</v>
      </c>
      <c r="I103" s="541">
        <f t="shared" si="18"/>
        <v>1048558</v>
      </c>
      <c r="J103" s="1594">
        <f t="shared" si="19"/>
        <v>2.8050410366708398</v>
      </c>
    </row>
    <row r="104" spans="1:10" ht="14.1" customHeight="1">
      <c r="A104" s="545" t="s">
        <v>256</v>
      </c>
      <c r="B104" s="1566">
        <f>65950+52500+80000+299861</f>
        <v>498311</v>
      </c>
      <c r="C104" s="1585">
        <f>135510+77288+100000+327727</f>
        <v>640525</v>
      </c>
      <c r="D104" s="1586">
        <v>616694</v>
      </c>
      <c r="E104" s="1586">
        <v>686648</v>
      </c>
      <c r="F104" s="1587">
        <f>1932945</f>
        <v>1932945</v>
      </c>
      <c r="G104" s="1593">
        <f t="shared" si="16"/>
        <v>118383</v>
      </c>
      <c r="H104" s="1594">
        <f t="shared" si="17"/>
        <v>0.23756850641466865</v>
      </c>
      <c r="I104" s="541">
        <f t="shared" si="18"/>
        <v>1316251</v>
      </c>
      <c r="J104" s="1594">
        <f t="shared" si="19"/>
        <v>2.1343664767291397</v>
      </c>
    </row>
    <row r="105" spans="1:10" ht="14.1" customHeight="1">
      <c r="A105" s="545" t="s">
        <v>38</v>
      </c>
      <c r="B105" s="1566">
        <f>478163+150000+170000+40000+45000+932939</f>
        <v>1816102</v>
      </c>
      <c r="C105" s="1585">
        <f>563383+115562+208108+47394+39936+248410</f>
        <v>1222793</v>
      </c>
      <c r="D105" s="1586">
        <v>1334802</v>
      </c>
      <c r="E105" s="1586">
        <v>0</v>
      </c>
      <c r="F105" s="1587">
        <f>126628+134394+7050+253273</f>
        <v>521345</v>
      </c>
      <c r="G105" s="1593">
        <f t="shared" si="16"/>
        <v>-481300</v>
      </c>
      <c r="H105" s="1594">
        <f t="shared" si="17"/>
        <v>-0.26501815426666564</v>
      </c>
      <c r="I105" s="541">
        <f t="shared" si="18"/>
        <v>-813457</v>
      </c>
      <c r="J105" s="1594">
        <f t="shared" si="19"/>
        <v>-0.60942147224831844</v>
      </c>
    </row>
    <row r="106" spans="1:10" ht="14.1" customHeight="1">
      <c r="A106" s="545" t="s">
        <v>41</v>
      </c>
      <c r="B106" s="1566">
        <f>11168658+1480000+430000+500000+300000+1850000+265300</f>
        <v>15993958</v>
      </c>
      <c r="C106" s="1585">
        <f>10388869+1480000+430000+500000+300000+1850000+946913</f>
        <v>15895782</v>
      </c>
      <c r="D106" s="1586">
        <v>9564010</v>
      </c>
      <c r="E106" s="1586">
        <v>0</v>
      </c>
      <c r="F106" s="1587">
        <f>4085246+4001515+244880</f>
        <v>8331641</v>
      </c>
      <c r="G106" s="1593">
        <f t="shared" si="16"/>
        <v>-6429948</v>
      </c>
      <c r="H106" s="1594">
        <f t="shared" si="17"/>
        <v>-0.40202356414841156</v>
      </c>
      <c r="I106" s="541">
        <f t="shared" si="18"/>
        <v>-1232369</v>
      </c>
      <c r="J106" s="1594">
        <f t="shared" si="19"/>
        <v>-0.12885484226804444</v>
      </c>
    </row>
    <row r="107" spans="1:10" ht="14.1" customHeight="1">
      <c r="A107" s="545" t="s">
        <v>253</v>
      </c>
      <c r="B107" s="1566">
        <f>701983+275945+36056+36972+30000+10000+2059654</f>
        <v>3150610</v>
      </c>
      <c r="C107" s="1585">
        <f>2180945+378699+64056+36972+2000+10000+1941634</f>
        <v>4614306</v>
      </c>
      <c r="D107" s="1586">
        <v>8166308</v>
      </c>
      <c r="E107" s="1586">
        <v>8656697</v>
      </c>
      <c r="F107" s="1587">
        <f>1296429+1469804+748000+298400</f>
        <v>3812633</v>
      </c>
      <c r="G107" s="1593">
        <f t="shared" si="16"/>
        <v>5015698</v>
      </c>
      <c r="H107" s="1594">
        <f t="shared" si="17"/>
        <v>1.5919767917958745</v>
      </c>
      <c r="I107" s="541">
        <f t="shared" si="18"/>
        <v>-4353675</v>
      </c>
      <c r="J107" s="1594">
        <f t="shared" si="19"/>
        <v>-0.53312647526887302</v>
      </c>
    </row>
    <row r="108" spans="1:10" ht="14.1" customHeight="1">
      <c r="A108" s="545" t="s">
        <v>257</v>
      </c>
      <c r="B108" s="1566">
        <f>1128259+478271+90000+31500</f>
        <v>1728030</v>
      </c>
      <c r="C108" s="1585">
        <f>2271449+486339+90000+39360</f>
        <v>2887148</v>
      </c>
      <c r="D108" s="1586">
        <v>3822004</v>
      </c>
      <c r="E108" s="1586">
        <v>3235167</v>
      </c>
      <c r="F108" s="1587">
        <f>882097+4720+221457</f>
        <v>1108274</v>
      </c>
      <c r="G108" s="1593">
        <f t="shared" si="16"/>
        <v>2093974</v>
      </c>
      <c r="H108" s="1594">
        <f t="shared" si="17"/>
        <v>1.2117694715948217</v>
      </c>
      <c r="I108" s="541">
        <f t="shared" si="18"/>
        <v>-2713730</v>
      </c>
      <c r="J108" s="1594">
        <f t="shared" si="19"/>
        <v>-0.71002803764726563</v>
      </c>
    </row>
    <row r="109" spans="1:10" ht="14.1" customHeight="1">
      <c r="A109" s="545" t="s">
        <v>250</v>
      </c>
      <c r="B109" s="1566">
        <f>6108618+40000+26972+60000</f>
        <v>6235590</v>
      </c>
      <c r="C109" s="1585">
        <f>5899798+57983+26972+60000+439037</f>
        <v>6483790</v>
      </c>
      <c r="D109" s="1586">
        <v>5936943</v>
      </c>
      <c r="E109" s="1586">
        <v>8276938</v>
      </c>
      <c r="F109" s="1587">
        <f>1160557+341000+242407+57000+452800+1162626+371623+547636+710575+2000+121480+66162</f>
        <v>5235866</v>
      </c>
      <c r="G109" s="1593">
        <f t="shared" si="16"/>
        <v>-298647</v>
      </c>
      <c r="H109" s="1594">
        <f t="shared" si="17"/>
        <v>-4.7893944277927147E-2</v>
      </c>
      <c r="I109" s="541">
        <f t="shared" si="18"/>
        <v>-701077</v>
      </c>
      <c r="J109" s="1594">
        <f t="shared" si="19"/>
        <v>-0.11808720413856089</v>
      </c>
    </row>
    <row r="110" spans="1:10" ht="14.1" customHeight="1">
      <c r="A110" s="545" t="s">
        <v>252</v>
      </c>
      <c r="B110" s="1566">
        <f>6862128+600000+540000+1588002</f>
        <v>9590130</v>
      </c>
      <c r="C110" s="1585">
        <f>7107883+498907+540000+1588002</f>
        <v>9734792</v>
      </c>
      <c r="D110" s="1586">
        <v>8774115</v>
      </c>
      <c r="E110" s="1586">
        <v>9762620</v>
      </c>
      <c r="F110" s="1587">
        <f>3004272+5808827</f>
        <v>8813099</v>
      </c>
      <c r="G110" s="1593">
        <f t="shared" si="16"/>
        <v>-816015</v>
      </c>
      <c r="H110" s="1594">
        <f t="shared" si="17"/>
        <v>-8.5089044674055536E-2</v>
      </c>
      <c r="I110" s="541">
        <f t="shared" si="18"/>
        <v>38984</v>
      </c>
      <c r="J110" s="1594">
        <f t="shared" si="19"/>
        <v>4.4430691870347427E-3</v>
      </c>
    </row>
    <row r="111" spans="1:10" ht="14.1" customHeight="1">
      <c r="A111" s="545" t="s">
        <v>26</v>
      </c>
      <c r="B111" s="1566">
        <f>1369199</f>
        <v>1369199</v>
      </c>
      <c r="C111" s="1585">
        <f>3019939</f>
        <v>3019939</v>
      </c>
      <c r="D111" s="1586">
        <v>1399502</v>
      </c>
      <c r="E111" s="1586">
        <v>0</v>
      </c>
      <c r="F111" s="1587">
        <v>0</v>
      </c>
      <c r="G111" s="1593">
        <f t="shared" si="16"/>
        <v>30303</v>
      </c>
      <c r="H111" s="1594">
        <f t="shared" si="17"/>
        <v>2.2131918004614448E-2</v>
      </c>
      <c r="I111" s="541">
        <f t="shared" si="18"/>
        <v>-1399502</v>
      </c>
      <c r="J111" s="1594">
        <f t="shared" si="19"/>
        <v>-1</v>
      </c>
    </row>
    <row r="112" spans="1:10" ht="14.1" customHeight="1">
      <c r="A112" s="545" t="s">
        <v>259</v>
      </c>
      <c r="B112" s="1566">
        <v>50733405</v>
      </c>
      <c r="C112" s="1585">
        <v>43396802</v>
      </c>
      <c r="D112" s="1586">
        <v>65310187</v>
      </c>
      <c r="E112" s="1586">
        <v>84683823</v>
      </c>
      <c r="F112" s="1587">
        <f>20137420+1340920+4813197+1779569+2223500+500000+100000+337500+92000+320000+90000+381780+258000</f>
        <v>32373886</v>
      </c>
      <c r="G112" s="1593">
        <f t="shared" si="16"/>
        <v>14576782</v>
      </c>
      <c r="H112" s="1594">
        <f t="shared" si="17"/>
        <v>0.28732118413893182</v>
      </c>
      <c r="I112" s="541">
        <f t="shared" si="18"/>
        <v>-32936301</v>
      </c>
      <c r="J112" s="1594">
        <f t="shared" si="19"/>
        <v>-0.50430572186234901</v>
      </c>
    </row>
    <row r="113" spans="1:12" ht="14.1" customHeight="1">
      <c r="A113" s="545" t="s">
        <v>261</v>
      </c>
      <c r="B113" s="1566">
        <f>126600+154071+60000+796359</f>
        <v>1137030</v>
      </c>
      <c r="C113" s="1585">
        <f>63701+196528+977752</f>
        <v>1237981</v>
      </c>
      <c r="D113" s="1586">
        <v>1537982</v>
      </c>
      <c r="E113" s="1586">
        <v>1693910</v>
      </c>
      <c r="F113" s="1587">
        <f>1575140+30000+661588</f>
        <v>2266728</v>
      </c>
      <c r="G113" s="1593">
        <f t="shared" si="16"/>
        <v>400952</v>
      </c>
      <c r="H113" s="1594">
        <f t="shared" si="17"/>
        <v>0.35263097719497294</v>
      </c>
      <c r="I113" s="541">
        <f t="shared" si="18"/>
        <v>728746</v>
      </c>
      <c r="J113" s="1594">
        <f t="shared" si="19"/>
        <v>0.4738325936194312</v>
      </c>
    </row>
    <row r="114" spans="1:12" ht="14.1" customHeight="1">
      <c r="A114" s="545" t="s">
        <v>249</v>
      </c>
      <c r="B114" s="1566">
        <f>0+144477+15880</f>
        <v>160357</v>
      </c>
      <c r="C114" s="1585">
        <f>0+231666+24305</f>
        <v>255971</v>
      </c>
      <c r="D114" s="1586">
        <v>234156</v>
      </c>
      <c r="E114" s="1586">
        <v>346409</v>
      </c>
      <c r="F114" s="1587">
        <f>138297+570798+98821+387460</f>
        <v>1195376</v>
      </c>
      <c r="G114" s="1593">
        <f t="shared" si="16"/>
        <v>73799</v>
      </c>
      <c r="H114" s="1594">
        <f t="shared" si="17"/>
        <v>0.46021689106181829</v>
      </c>
      <c r="I114" s="541">
        <f t="shared" si="18"/>
        <v>961220</v>
      </c>
      <c r="J114" s="1594">
        <f t="shared" si="19"/>
        <v>4.1050410837219635</v>
      </c>
    </row>
    <row r="115" spans="1:12" ht="14.1" customHeight="1">
      <c r="A115" s="545" t="s">
        <v>263</v>
      </c>
      <c r="B115" s="1566">
        <f>54074</f>
        <v>54074</v>
      </c>
      <c r="C115" s="1585">
        <f>14234+150</f>
        <v>14384</v>
      </c>
      <c r="D115" s="1586">
        <v>2050</v>
      </c>
      <c r="E115" s="1586">
        <v>2427</v>
      </c>
      <c r="F115" s="1587">
        <f>5000+4290</f>
        <v>9290</v>
      </c>
      <c r="G115" s="1593">
        <f t="shared" si="16"/>
        <v>-52024</v>
      </c>
      <c r="H115" s="1594">
        <f t="shared" si="17"/>
        <v>-0.9620889891629989</v>
      </c>
      <c r="I115" s="541">
        <f t="shared" si="18"/>
        <v>7240</v>
      </c>
      <c r="J115" s="1594">
        <f t="shared" si="19"/>
        <v>3.5317073170731703</v>
      </c>
    </row>
    <row r="116" spans="1:12" ht="14.1" customHeight="1">
      <c r="A116" s="545" t="s">
        <v>36</v>
      </c>
      <c r="B116" s="1566">
        <f>2067270</f>
        <v>2067270</v>
      </c>
      <c r="C116" s="1585">
        <f>1800000</f>
        <v>1800000</v>
      </c>
      <c r="D116" s="1586">
        <v>1399206</v>
      </c>
      <c r="E116" s="1586">
        <v>0</v>
      </c>
      <c r="F116" s="1587">
        <v>0</v>
      </c>
      <c r="G116" s="1593">
        <f t="shared" si="16"/>
        <v>-668064</v>
      </c>
      <c r="H116" s="1594">
        <v>0</v>
      </c>
      <c r="I116" s="541">
        <f t="shared" si="18"/>
        <v>-1399206</v>
      </c>
      <c r="J116" s="1594">
        <v>0</v>
      </c>
    </row>
    <row r="117" spans="1:12" ht="14.1" customHeight="1">
      <c r="A117" s="545" t="s">
        <v>248</v>
      </c>
      <c r="B117" s="1566">
        <f>238420+207320</f>
        <v>445740</v>
      </c>
      <c r="C117" s="1585">
        <f>188804+120000</f>
        <v>308804</v>
      </c>
      <c r="D117" s="1586">
        <v>405198</v>
      </c>
      <c r="E117" s="1586">
        <v>0</v>
      </c>
      <c r="F117" s="1587">
        <v>0</v>
      </c>
      <c r="G117" s="1593">
        <f t="shared" si="16"/>
        <v>-40542</v>
      </c>
      <c r="H117" s="1594">
        <f t="shared" si="17"/>
        <v>-9.0954368017229781E-2</v>
      </c>
      <c r="I117" s="541">
        <f t="shared" si="18"/>
        <v>-405198</v>
      </c>
      <c r="J117" s="1594">
        <f t="shared" si="19"/>
        <v>-1</v>
      </c>
    </row>
    <row r="118" spans="1:12" ht="14.1" customHeight="1">
      <c r="A118" s="545" t="s">
        <v>39</v>
      </c>
      <c r="B118" s="1566">
        <f>2964428+2548262</f>
        <v>5512690</v>
      </c>
      <c r="C118" s="1585">
        <f>1807387+2014819</f>
        <v>3822206</v>
      </c>
      <c r="D118" s="1586">
        <v>6216477</v>
      </c>
      <c r="E118" s="1586">
        <v>4559088</v>
      </c>
      <c r="F118" s="1587">
        <v>6422204</v>
      </c>
      <c r="G118" s="1593">
        <f t="shared" si="16"/>
        <v>703787</v>
      </c>
      <c r="H118" s="1594">
        <f t="shared" si="17"/>
        <v>0.12766671080724645</v>
      </c>
      <c r="I118" s="541">
        <f t="shared" si="18"/>
        <v>205727</v>
      </c>
      <c r="J118" s="1594">
        <f t="shared" si="19"/>
        <v>3.3093824685589635E-2</v>
      </c>
    </row>
    <row r="119" spans="1:12" ht="14.1" customHeight="1" thickBot="1">
      <c r="A119" s="546" t="s">
        <v>912</v>
      </c>
      <c r="B119" s="1567"/>
      <c r="C119" s="1588"/>
      <c r="D119" s="1589"/>
      <c r="E119" s="1589">
        <v>1950832</v>
      </c>
      <c r="F119" s="1590">
        <f>353535+52738</f>
        <v>406273</v>
      </c>
      <c r="G119" s="1595">
        <f t="shared" si="16"/>
        <v>0</v>
      </c>
      <c r="H119" s="1596">
        <v>0</v>
      </c>
      <c r="I119" s="543">
        <f t="shared" si="18"/>
        <v>406273</v>
      </c>
      <c r="J119" s="1596">
        <v>0</v>
      </c>
    </row>
    <row r="120" spans="1:12" ht="16.5" customHeight="1" thickBot="1">
      <c r="A120" s="535" t="s">
        <v>54</v>
      </c>
      <c r="B120" s="1580">
        <f>SUM(B88:B119)</f>
        <v>188913452</v>
      </c>
      <c r="C120" s="1581">
        <f t="shared" ref="C120:G120" si="20">SUM(C88:C119)</f>
        <v>197767439</v>
      </c>
      <c r="D120" s="1581">
        <f t="shared" si="20"/>
        <v>202772304</v>
      </c>
      <c r="E120" s="1581">
        <f t="shared" si="20"/>
        <v>209750854</v>
      </c>
      <c r="F120" s="536">
        <f t="shared" si="20"/>
        <v>154979066</v>
      </c>
      <c r="G120" s="1580">
        <f t="shared" si="20"/>
        <v>13858852</v>
      </c>
      <c r="H120" s="1597">
        <f t="shared" si="17"/>
        <v>7.336085309583984E-2</v>
      </c>
      <c r="I120" s="532">
        <f>SUM(I88:I119)</f>
        <v>-47793238</v>
      </c>
      <c r="J120" s="1597">
        <f>+F120/D120-1</f>
        <v>-0.2356990430014545</v>
      </c>
      <c r="L120" s="1568"/>
    </row>
    <row r="121" spans="1:12" ht="12.75">
      <c r="A121" s="537" t="s">
        <v>56</v>
      </c>
      <c r="B121" s="533"/>
      <c r="C121" s="533"/>
      <c r="D121" s="533"/>
      <c r="E121" s="533"/>
      <c r="F121" s="533"/>
      <c r="G121" s="533"/>
      <c r="H121" s="533"/>
      <c r="I121" s="533"/>
      <c r="J121" s="783"/>
    </row>
    <row r="122" spans="1:12" ht="12.75">
      <c r="A122" s="537" t="s">
        <v>332</v>
      </c>
      <c r="B122" s="538"/>
      <c r="C122" s="538"/>
      <c r="D122" s="538"/>
      <c r="E122" s="538"/>
      <c r="F122" s="538"/>
      <c r="G122" s="538"/>
      <c r="H122" s="538"/>
      <c r="I122" s="538"/>
      <c r="J122" s="783"/>
    </row>
    <row r="123" spans="1:12" ht="12.75">
      <c r="A123" s="537" t="s">
        <v>158</v>
      </c>
      <c r="B123" s="533"/>
      <c r="C123" s="533"/>
      <c r="D123" s="533"/>
      <c r="E123" s="533"/>
      <c r="F123" s="533"/>
      <c r="G123" s="533"/>
      <c r="H123" s="533"/>
      <c r="I123" s="533"/>
      <c r="J123" s="783"/>
    </row>
    <row r="126" spans="1:12" ht="13.5" thickBot="1">
      <c r="A126" s="534" t="s">
        <v>913</v>
      </c>
      <c r="B126" s="785"/>
      <c r="C126" s="783"/>
      <c r="D126" s="783"/>
      <c r="E126" s="785"/>
      <c r="F126" s="783"/>
      <c r="G126" s="783"/>
      <c r="H126" s="783"/>
      <c r="I126" s="783"/>
      <c r="J126" s="783"/>
    </row>
    <row r="127" spans="1:12" ht="12.75" customHeight="1" thickBot="1">
      <c r="A127" s="1743" t="s">
        <v>32</v>
      </c>
      <c r="B127" s="1739" t="s">
        <v>329</v>
      </c>
      <c r="C127" s="1746" t="s">
        <v>402</v>
      </c>
      <c r="D127" s="1746" t="s">
        <v>403</v>
      </c>
      <c r="E127" s="1746" t="s">
        <v>404</v>
      </c>
      <c r="F127" s="1741" t="s">
        <v>405</v>
      </c>
      <c r="G127" s="1739" t="s">
        <v>330</v>
      </c>
      <c r="H127" s="1741" t="s">
        <v>331</v>
      </c>
      <c r="I127" s="1739" t="s">
        <v>407</v>
      </c>
      <c r="J127" s="1741" t="s">
        <v>406</v>
      </c>
    </row>
    <row r="128" spans="1:12" ht="27.75" customHeight="1" thickBot="1">
      <c r="A128" s="1744"/>
      <c r="B128" s="1745"/>
      <c r="C128" s="1747"/>
      <c r="D128" s="1747"/>
      <c r="E128" s="1747"/>
      <c r="F128" s="1742"/>
      <c r="G128" s="1740"/>
      <c r="H128" s="1742"/>
      <c r="I128" s="1740"/>
      <c r="J128" s="1742"/>
    </row>
    <row r="129" spans="1:10" ht="14.1" customHeight="1">
      <c r="A129" s="531" t="s">
        <v>35</v>
      </c>
      <c r="B129" s="1609">
        <v>0</v>
      </c>
      <c r="C129" s="1610">
        <v>0</v>
      </c>
      <c r="D129" s="1583">
        <v>0</v>
      </c>
      <c r="E129" s="1583">
        <v>0</v>
      </c>
      <c r="F129" s="1584"/>
      <c r="G129" s="1591">
        <f>+D129-B129</f>
        <v>0</v>
      </c>
      <c r="H129" s="1592" t="s">
        <v>782</v>
      </c>
      <c r="I129" s="539">
        <f t="shared" ref="I129:I144" si="21">+F129-D129</f>
        <v>0</v>
      </c>
      <c r="J129" s="1592">
        <v>0</v>
      </c>
    </row>
    <row r="130" spans="1:10" ht="14.1" customHeight="1">
      <c r="A130" s="540" t="s">
        <v>254</v>
      </c>
      <c r="B130" s="1611">
        <f>100000</f>
        <v>100000</v>
      </c>
      <c r="C130" s="1612">
        <f>107080</f>
        <v>107080</v>
      </c>
      <c r="D130" s="1586">
        <v>0</v>
      </c>
      <c r="E130" s="1586">
        <v>49250</v>
      </c>
      <c r="F130" s="1587"/>
      <c r="G130" s="1593">
        <f t="shared" ref="G130:G160" si="22">+D130-B130</f>
        <v>-100000</v>
      </c>
      <c r="H130" s="1594">
        <f t="shared" ref="H130:H155" si="23">+D130/B130-1</f>
        <v>-1</v>
      </c>
      <c r="I130" s="541">
        <f t="shared" si="21"/>
        <v>0</v>
      </c>
      <c r="J130" s="1594">
        <v>0</v>
      </c>
    </row>
    <row r="131" spans="1:10" ht="14.1" customHeight="1">
      <c r="A131" s="540" t="s">
        <v>34</v>
      </c>
      <c r="B131" s="1611">
        <v>0</v>
      </c>
      <c r="C131" s="1612">
        <v>0</v>
      </c>
      <c r="D131" s="1586">
        <v>0</v>
      </c>
      <c r="E131" s="1586">
        <v>0</v>
      </c>
      <c r="F131" s="1587"/>
      <c r="G131" s="1593">
        <f t="shared" si="22"/>
        <v>0</v>
      </c>
      <c r="H131" s="1594" t="s">
        <v>782</v>
      </c>
      <c r="I131" s="541">
        <f t="shared" si="21"/>
        <v>0</v>
      </c>
      <c r="J131" s="1594">
        <v>0</v>
      </c>
    </row>
    <row r="132" spans="1:10" ht="14.1" customHeight="1">
      <c r="A132" s="540" t="s">
        <v>28</v>
      </c>
      <c r="B132" s="1611">
        <v>0</v>
      </c>
      <c r="C132" s="1612">
        <v>0</v>
      </c>
      <c r="D132" s="1586">
        <v>0</v>
      </c>
      <c r="E132" s="1586">
        <v>0</v>
      </c>
      <c r="F132" s="1587"/>
      <c r="G132" s="1593">
        <f t="shared" si="22"/>
        <v>0</v>
      </c>
      <c r="H132" s="1594">
        <v>0</v>
      </c>
      <c r="I132" s="541">
        <f t="shared" si="21"/>
        <v>0</v>
      </c>
      <c r="J132" s="1594">
        <v>0</v>
      </c>
    </row>
    <row r="133" spans="1:10" ht="14.1" customHeight="1">
      <c r="A133" s="540" t="s">
        <v>25</v>
      </c>
      <c r="B133" s="1611">
        <v>0</v>
      </c>
      <c r="C133" s="1612">
        <v>0</v>
      </c>
      <c r="D133" s="1586">
        <v>0</v>
      </c>
      <c r="E133" s="1586">
        <v>0</v>
      </c>
      <c r="F133" s="1587"/>
      <c r="G133" s="1593">
        <f t="shared" si="22"/>
        <v>0</v>
      </c>
      <c r="H133" s="1594">
        <v>0</v>
      </c>
      <c r="I133" s="541">
        <f t="shared" si="21"/>
        <v>0</v>
      </c>
      <c r="J133" s="1594">
        <v>0</v>
      </c>
    </row>
    <row r="134" spans="1:10" ht="14.1" customHeight="1">
      <c r="A134" s="540" t="s">
        <v>251</v>
      </c>
      <c r="B134" s="1611">
        <v>0</v>
      </c>
      <c r="C134" s="1612">
        <v>0</v>
      </c>
      <c r="D134" s="1586">
        <v>0</v>
      </c>
      <c r="E134" s="1586">
        <v>1288</v>
      </c>
      <c r="F134" s="1587"/>
      <c r="G134" s="1593">
        <f t="shared" si="22"/>
        <v>0</v>
      </c>
      <c r="H134" s="1594" t="s">
        <v>782</v>
      </c>
      <c r="I134" s="541">
        <f t="shared" si="21"/>
        <v>0</v>
      </c>
      <c r="J134" s="1594">
        <v>0</v>
      </c>
    </row>
    <row r="135" spans="1:10" ht="14.1" customHeight="1">
      <c r="A135" s="540" t="s">
        <v>264</v>
      </c>
      <c r="B135" s="1611">
        <f>110000</f>
        <v>110000</v>
      </c>
      <c r="C135" s="1612">
        <v>224582</v>
      </c>
      <c r="D135" s="1586">
        <v>0</v>
      </c>
      <c r="E135" s="1586">
        <v>209130</v>
      </c>
      <c r="F135" s="1587"/>
      <c r="G135" s="1593">
        <f t="shared" si="22"/>
        <v>-110000</v>
      </c>
      <c r="H135" s="1594">
        <f t="shared" si="23"/>
        <v>-1</v>
      </c>
      <c r="I135" s="541">
        <f t="shared" si="21"/>
        <v>0</v>
      </c>
      <c r="J135" s="1594">
        <v>0</v>
      </c>
    </row>
    <row r="136" spans="1:10" ht="14.1" customHeight="1">
      <c r="A136" s="540" t="s">
        <v>30</v>
      </c>
      <c r="B136" s="1611">
        <v>0</v>
      </c>
      <c r="C136" s="1612">
        <v>0</v>
      </c>
      <c r="D136" s="1586">
        <v>0</v>
      </c>
      <c r="E136" s="1586">
        <v>0</v>
      </c>
      <c r="F136" s="1587"/>
      <c r="G136" s="1593">
        <f t="shared" si="22"/>
        <v>0</v>
      </c>
      <c r="H136" s="1594">
        <v>0</v>
      </c>
      <c r="I136" s="541">
        <f t="shared" si="21"/>
        <v>0</v>
      </c>
      <c r="J136" s="1594">
        <v>0</v>
      </c>
    </row>
    <row r="137" spans="1:10" ht="14.1" customHeight="1">
      <c r="A137" s="540" t="s">
        <v>260</v>
      </c>
      <c r="B137" s="1611">
        <f>1410648</f>
        <v>1410648</v>
      </c>
      <c r="C137" s="1612">
        <v>1443648</v>
      </c>
      <c r="D137" s="1586">
        <v>0</v>
      </c>
      <c r="E137" s="1586">
        <v>0</v>
      </c>
      <c r="F137" s="1587"/>
      <c r="G137" s="1593">
        <f t="shared" si="22"/>
        <v>-1410648</v>
      </c>
      <c r="H137" s="1594">
        <f t="shared" si="23"/>
        <v>-1</v>
      </c>
      <c r="I137" s="541">
        <f t="shared" si="21"/>
        <v>0</v>
      </c>
      <c r="J137" s="1594">
        <v>0</v>
      </c>
    </row>
    <row r="138" spans="1:10" ht="14.1" customHeight="1">
      <c r="A138" s="540" t="s">
        <v>258</v>
      </c>
      <c r="B138" s="1611">
        <v>0</v>
      </c>
      <c r="C138" s="1612">
        <v>0</v>
      </c>
      <c r="D138" s="1586">
        <v>0</v>
      </c>
      <c r="E138" s="1586">
        <v>0</v>
      </c>
      <c r="F138" s="1587"/>
      <c r="G138" s="1593">
        <f t="shared" si="22"/>
        <v>0</v>
      </c>
      <c r="H138" s="1594">
        <v>0</v>
      </c>
      <c r="I138" s="541">
        <f t="shared" si="21"/>
        <v>0</v>
      </c>
      <c r="J138" s="1594">
        <v>0</v>
      </c>
    </row>
    <row r="139" spans="1:10" ht="14.1" customHeight="1">
      <c r="A139" s="540" t="s">
        <v>255</v>
      </c>
      <c r="B139" s="1611">
        <f>63000</f>
        <v>63000</v>
      </c>
      <c r="C139" s="1612">
        <v>38215</v>
      </c>
      <c r="D139" s="1586">
        <v>0</v>
      </c>
      <c r="E139" s="1586">
        <v>136375</v>
      </c>
      <c r="F139" s="1587"/>
      <c r="G139" s="1593">
        <f t="shared" si="22"/>
        <v>-63000</v>
      </c>
      <c r="H139" s="1594">
        <f t="shared" si="23"/>
        <v>-1</v>
      </c>
      <c r="I139" s="541">
        <f t="shared" si="21"/>
        <v>0</v>
      </c>
      <c r="J139" s="1594">
        <v>0</v>
      </c>
    </row>
    <row r="140" spans="1:10" ht="14.1" customHeight="1">
      <c r="A140" s="540" t="s">
        <v>262</v>
      </c>
      <c r="B140" s="1611">
        <v>0</v>
      </c>
      <c r="C140" s="1612">
        <v>0</v>
      </c>
      <c r="D140" s="1586">
        <v>0</v>
      </c>
      <c r="E140" s="1586">
        <v>0</v>
      </c>
      <c r="F140" s="1587"/>
      <c r="G140" s="1593">
        <f t="shared" si="22"/>
        <v>0</v>
      </c>
      <c r="H140" s="1594">
        <v>0</v>
      </c>
      <c r="I140" s="541">
        <f t="shared" si="21"/>
        <v>0</v>
      </c>
      <c r="J140" s="1594">
        <v>0</v>
      </c>
    </row>
    <row r="141" spans="1:10" ht="14.1" customHeight="1">
      <c r="A141" s="540" t="s">
        <v>37</v>
      </c>
      <c r="B141" s="1611">
        <v>0</v>
      </c>
      <c r="C141" s="1612">
        <v>0</v>
      </c>
      <c r="D141" s="1586">
        <v>0</v>
      </c>
      <c r="E141" s="1586">
        <v>0</v>
      </c>
      <c r="F141" s="1587">
        <v>6816000</v>
      </c>
      <c r="G141" s="1593">
        <f t="shared" si="22"/>
        <v>0</v>
      </c>
      <c r="H141" s="1594" t="s">
        <v>782</v>
      </c>
      <c r="I141" s="541">
        <f t="shared" si="21"/>
        <v>6816000</v>
      </c>
      <c r="J141" s="1594">
        <v>0</v>
      </c>
    </row>
    <row r="142" spans="1:10" ht="14.1" customHeight="1">
      <c r="A142" s="540" t="s">
        <v>33</v>
      </c>
      <c r="B142" s="1611">
        <v>0</v>
      </c>
      <c r="C142" s="1612">
        <v>0</v>
      </c>
      <c r="D142" s="1586">
        <v>0</v>
      </c>
      <c r="E142" s="1586">
        <v>0</v>
      </c>
      <c r="F142" s="1587"/>
      <c r="G142" s="1593">
        <f t="shared" si="22"/>
        <v>0</v>
      </c>
      <c r="H142" s="1594" t="s">
        <v>782</v>
      </c>
      <c r="I142" s="541">
        <f t="shared" si="21"/>
        <v>0</v>
      </c>
      <c r="J142" s="1594">
        <v>0</v>
      </c>
    </row>
    <row r="143" spans="1:10" ht="14.1" customHeight="1">
      <c r="A143" s="540" t="s">
        <v>29</v>
      </c>
      <c r="B143" s="1611">
        <v>0</v>
      </c>
      <c r="C143" s="1612">
        <v>0</v>
      </c>
      <c r="D143" s="1586">
        <v>0</v>
      </c>
      <c r="E143" s="1586">
        <v>0</v>
      </c>
      <c r="F143" s="1587">
        <v>7200</v>
      </c>
      <c r="G143" s="1593">
        <f t="shared" si="22"/>
        <v>0</v>
      </c>
      <c r="H143" s="1594" t="s">
        <v>782</v>
      </c>
      <c r="I143" s="541">
        <f t="shared" si="21"/>
        <v>7200</v>
      </c>
      <c r="J143" s="1594">
        <v>0</v>
      </c>
    </row>
    <row r="144" spans="1:10" ht="14.1" customHeight="1">
      <c r="A144" s="540" t="s">
        <v>27</v>
      </c>
      <c r="B144" s="1611">
        <v>0</v>
      </c>
      <c r="C144" s="1612">
        <v>0</v>
      </c>
      <c r="D144" s="1586">
        <v>0</v>
      </c>
      <c r="E144" s="1586">
        <v>0</v>
      </c>
      <c r="F144" s="1587"/>
      <c r="G144" s="1593">
        <f t="shared" si="22"/>
        <v>0</v>
      </c>
      <c r="H144" s="1594" t="s">
        <v>782</v>
      </c>
      <c r="I144" s="541">
        <f t="shared" si="21"/>
        <v>0</v>
      </c>
      <c r="J144" s="1594">
        <v>0</v>
      </c>
    </row>
    <row r="145" spans="1:10" ht="14.1" customHeight="1">
      <c r="A145" s="540" t="s">
        <v>256</v>
      </c>
      <c r="B145" s="1611">
        <v>0</v>
      </c>
      <c r="C145" s="1612">
        <v>66283</v>
      </c>
      <c r="D145" s="1586">
        <v>0</v>
      </c>
      <c r="E145" s="1586">
        <v>92125</v>
      </c>
      <c r="F145" s="1587"/>
      <c r="G145" s="1593">
        <f t="shared" si="22"/>
        <v>0</v>
      </c>
      <c r="H145" s="1594" t="s">
        <v>782</v>
      </c>
      <c r="I145" s="541">
        <f t="shared" ref="I145" si="24">+F145-D145</f>
        <v>0</v>
      </c>
      <c r="J145" s="1594">
        <v>0</v>
      </c>
    </row>
    <row r="146" spans="1:10" ht="14.1" customHeight="1">
      <c r="A146" s="540" t="s">
        <v>38</v>
      </c>
      <c r="B146" s="1611">
        <v>0</v>
      </c>
      <c r="C146" s="1612">
        <v>0</v>
      </c>
      <c r="D146" s="1586">
        <v>0</v>
      </c>
      <c r="E146" s="1586">
        <v>0</v>
      </c>
      <c r="F146" s="1587"/>
      <c r="G146" s="1593">
        <f t="shared" si="22"/>
        <v>0</v>
      </c>
      <c r="H146" s="1594" t="s">
        <v>782</v>
      </c>
      <c r="I146" s="541">
        <f t="shared" ref="I146:I160" si="25">+F146-D146</f>
        <v>0</v>
      </c>
      <c r="J146" s="1594">
        <v>0</v>
      </c>
    </row>
    <row r="147" spans="1:10" ht="14.1" customHeight="1">
      <c r="A147" s="540" t="s">
        <v>41</v>
      </c>
      <c r="B147" s="1611">
        <v>0</v>
      </c>
      <c r="C147" s="1612">
        <v>89135</v>
      </c>
      <c r="D147" s="1586">
        <v>0</v>
      </c>
      <c r="E147" s="1586">
        <v>0</v>
      </c>
      <c r="F147" s="1587"/>
      <c r="G147" s="1593">
        <f t="shared" si="22"/>
        <v>0</v>
      </c>
      <c r="H147" s="1594" t="s">
        <v>782</v>
      </c>
      <c r="I147" s="541">
        <f t="shared" si="25"/>
        <v>0</v>
      </c>
      <c r="J147" s="1594">
        <v>0</v>
      </c>
    </row>
    <row r="148" spans="1:10" ht="14.1" customHeight="1">
      <c r="A148" s="540" t="s">
        <v>253</v>
      </c>
      <c r="B148" s="1611">
        <f>2106028</f>
        <v>2106028</v>
      </c>
      <c r="C148" s="1612">
        <v>1780130</v>
      </c>
      <c r="D148" s="1586">
        <v>0</v>
      </c>
      <c r="E148" s="1586">
        <v>1206856</v>
      </c>
      <c r="F148" s="1587"/>
      <c r="G148" s="1593">
        <f t="shared" si="22"/>
        <v>-2106028</v>
      </c>
      <c r="H148" s="1594">
        <f t="shared" si="23"/>
        <v>-1</v>
      </c>
      <c r="I148" s="541">
        <f t="shared" si="25"/>
        <v>0</v>
      </c>
      <c r="J148" s="1594">
        <v>0</v>
      </c>
    </row>
    <row r="149" spans="1:10" ht="14.1" customHeight="1">
      <c r="A149" s="540" t="s">
        <v>257</v>
      </c>
      <c r="B149" s="1611">
        <f>1100000</f>
        <v>1100000</v>
      </c>
      <c r="C149" s="1612">
        <v>1520314</v>
      </c>
      <c r="D149" s="1586">
        <v>0</v>
      </c>
      <c r="E149" s="1586">
        <v>22407</v>
      </c>
      <c r="F149" s="1587"/>
      <c r="G149" s="1593">
        <f t="shared" si="22"/>
        <v>-1100000</v>
      </c>
      <c r="H149" s="1594">
        <f t="shared" si="23"/>
        <v>-1</v>
      </c>
      <c r="I149" s="541">
        <f t="shared" si="25"/>
        <v>0</v>
      </c>
      <c r="J149" s="1594">
        <v>0</v>
      </c>
    </row>
    <row r="150" spans="1:10" ht="14.1" customHeight="1">
      <c r="A150" s="540" t="s">
        <v>250</v>
      </c>
      <c r="B150" s="1611">
        <v>0</v>
      </c>
      <c r="C150" s="1612">
        <v>0</v>
      </c>
      <c r="D150" s="1586">
        <v>0</v>
      </c>
      <c r="E150" s="1586">
        <v>0</v>
      </c>
      <c r="F150" s="1587"/>
      <c r="G150" s="1593">
        <f t="shared" si="22"/>
        <v>0</v>
      </c>
      <c r="H150" s="1594" t="s">
        <v>782</v>
      </c>
      <c r="I150" s="541">
        <f t="shared" si="25"/>
        <v>0</v>
      </c>
      <c r="J150" s="1594">
        <v>0</v>
      </c>
    </row>
    <row r="151" spans="1:10" ht="14.1" customHeight="1">
      <c r="A151" s="540" t="s">
        <v>252</v>
      </c>
      <c r="B151" s="1611">
        <v>0</v>
      </c>
      <c r="C151" s="1612">
        <f>29376</f>
        <v>29376</v>
      </c>
      <c r="D151" s="1586">
        <v>0</v>
      </c>
      <c r="E151" s="1586">
        <v>0</v>
      </c>
      <c r="F151" s="1587"/>
      <c r="G151" s="1593">
        <f t="shared" si="22"/>
        <v>0</v>
      </c>
      <c r="H151" s="1594" t="s">
        <v>782</v>
      </c>
      <c r="I151" s="541">
        <f t="shared" si="25"/>
        <v>0</v>
      </c>
      <c r="J151" s="1594">
        <v>0</v>
      </c>
    </row>
    <row r="152" spans="1:10" ht="14.1" customHeight="1">
      <c r="A152" s="540" t="s">
        <v>26</v>
      </c>
      <c r="B152" s="1611">
        <v>0</v>
      </c>
      <c r="C152" s="1612">
        <v>0</v>
      </c>
      <c r="D152" s="1586">
        <v>0</v>
      </c>
      <c r="E152" s="1586">
        <v>0</v>
      </c>
      <c r="F152" s="1587"/>
      <c r="G152" s="1593">
        <f t="shared" si="22"/>
        <v>0</v>
      </c>
      <c r="H152" s="1594">
        <v>0</v>
      </c>
      <c r="I152" s="541">
        <f t="shared" si="25"/>
        <v>0</v>
      </c>
      <c r="J152" s="1594">
        <v>0</v>
      </c>
    </row>
    <row r="153" spans="1:10" ht="14.1" customHeight="1">
      <c r="A153" s="540" t="s">
        <v>259</v>
      </c>
      <c r="B153" s="1611">
        <v>4430000</v>
      </c>
      <c r="C153" s="1612">
        <v>2262799</v>
      </c>
      <c r="D153" s="1586">
        <v>2000000</v>
      </c>
      <c r="E153" s="1586">
        <v>307110</v>
      </c>
      <c r="F153" s="1587"/>
      <c r="G153" s="1593">
        <f t="shared" si="22"/>
        <v>-2430000</v>
      </c>
      <c r="H153" s="1594">
        <f t="shared" si="23"/>
        <v>-0.54853273137697522</v>
      </c>
      <c r="I153" s="541">
        <f t="shared" si="25"/>
        <v>-2000000</v>
      </c>
      <c r="J153" s="1594">
        <f t="shared" ref="J153" si="26">+F153/D153-1</f>
        <v>-1</v>
      </c>
    </row>
    <row r="154" spans="1:10" ht="14.1" customHeight="1">
      <c r="A154" s="540" t="s">
        <v>261</v>
      </c>
      <c r="B154" s="1611">
        <f>40000</f>
        <v>40000</v>
      </c>
      <c r="C154" s="1612">
        <v>13400</v>
      </c>
      <c r="D154" s="1586">
        <v>0</v>
      </c>
      <c r="E154" s="1586">
        <v>83889</v>
      </c>
      <c r="F154" s="1587"/>
      <c r="G154" s="1593">
        <f t="shared" si="22"/>
        <v>-40000</v>
      </c>
      <c r="H154" s="1594">
        <f t="shared" si="23"/>
        <v>-1</v>
      </c>
      <c r="I154" s="541">
        <f t="shared" si="25"/>
        <v>0</v>
      </c>
      <c r="J154" s="1594">
        <v>0</v>
      </c>
    </row>
    <row r="155" spans="1:10" ht="14.1" customHeight="1">
      <c r="A155" s="540" t="s">
        <v>249</v>
      </c>
      <c r="B155" s="1611">
        <f>183000</f>
        <v>183000</v>
      </c>
      <c r="C155" s="1612">
        <v>1779791</v>
      </c>
      <c r="D155" s="1586">
        <v>0</v>
      </c>
      <c r="E155" s="1586">
        <v>93443</v>
      </c>
      <c r="F155" s="1587"/>
      <c r="G155" s="1593">
        <f t="shared" si="22"/>
        <v>-183000</v>
      </c>
      <c r="H155" s="1594">
        <f t="shared" si="23"/>
        <v>-1</v>
      </c>
      <c r="I155" s="541">
        <f t="shared" si="25"/>
        <v>0</v>
      </c>
      <c r="J155" s="1594">
        <v>0</v>
      </c>
    </row>
    <row r="156" spans="1:10" ht="14.1" customHeight="1">
      <c r="A156" s="540" t="s">
        <v>263</v>
      </c>
      <c r="B156" s="1611">
        <v>0</v>
      </c>
      <c r="C156" s="1612">
        <v>0</v>
      </c>
      <c r="D156" s="1586">
        <v>0</v>
      </c>
      <c r="E156" s="1586">
        <v>0</v>
      </c>
      <c r="F156" s="1587"/>
      <c r="G156" s="1593">
        <f t="shared" si="22"/>
        <v>0</v>
      </c>
      <c r="H156" s="1594">
        <v>0</v>
      </c>
      <c r="I156" s="541">
        <f t="shared" si="25"/>
        <v>0</v>
      </c>
      <c r="J156" s="1594">
        <v>0</v>
      </c>
    </row>
    <row r="157" spans="1:10" ht="14.1" customHeight="1">
      <c r="A157" s="540" t="s">
        <v>36</v>
      </c>
      <c r="B157" s="1611">
        <v>0</v>
      </c>
      <c r="C157" s="1612">
        <v>0</v>
      </c>
      <c r="D157" s="1586">
        <v>0</v>
      </c>
      <c r="E157" s="1586">
        <v>0</v>
      </c>
      <c r="F157" s="1587"/>
      <c r="G157" s="1593">
        <f t="shared" si="22"/>
        <v>0</v>
      </c>
      <c r="H157" s="1594">
        <v>0</v>
      </c>
      <c r="I157" s="541">
        <f t="shared" si="25"/>
        <v>0</v>
      </c>
      <c r="J157" s="1594">
        <v>0</v>
      </c>
    </row>
    <row r="158" spans="1:10" ht="14.1" customHeight="1">
      <c r="A158" s="540" t="s">
        <v>248</v>
      </c>
      <c r="B158" s="1611">
        <v>250000</v>
      </c>
      <c r="C158" s="1612">
        <v>0</v>
      </c>
      <c r="D158" s="1586">
        <v>0</v>
      </c>
      <c r="E158" s="1586">
        <v>0</v>
      </c>
      <c r="F158" s="1587"/>
      <c r="G158" s="1593">
        <f t="shared" si="22"/>
        <v>-250000</v>
      </c>
      <c r="H158" s="1594">
        <v>0</v>
      </c>
      <c r="I158" s="541">
        <f t="shared" si="25"/>
        <v>0</v>
      </c>
      <c r="J158" s="1594">
        <v>0</v>
      </c>
    </row>
    <row r="159" spans="1:10" ht="14.1" customHeight="1">
      <c r="A159" s="540" t="s">
        <v>39</v>
      </c>
      <c r="B159" s="1611">
        <v>0</v>
      </c>
      <c r="C159" s="1612">
        <v>0</v>
      </c>
      <c r="D159" s="1586">
        <v>0</v>
      </c>
      <c r="E159" s="1586">
        <v>0</v>
      </c>
      <c r="F159" s="1587">
        <v>16000</v>
      </c>
      <c r="G159" s="1593">
        <f t="shared" si="22"/>
        <v>0</v>
      </c>
      <c r="H159" s="1594">
        <v>0</v>
      </c>
      <c r="I159" s="541">
        <f t="shared" si="25"/>
        <v>16000</v>
      </c>
      <c r="J159" s="1594">
        <v>0</v>
      </c>
    </row>
    <row r="160" spans="1:10" ht="14.1" customHeight="1" thickBot="1">
      <c r="A160" s="542" t="s">
        <v>910</v>
      </c>
      <c r="B160" s="1613"/>
      <c r="C160" s="1614">
        <v>27284</v>
      </c>
      <c r="D160" s="1589"/>
      <c r="E160" s="1589">
        <v>22325</v>
      </c>
      <c r="F160" s="1590"/>
      <c r="G160" s="1595">
        <f t="shared" si="22"/>
        <v>0</v>
      </c>
      <c r="H160" s="1596">
        <v>0</v>
      </c>
      <c r="I160" s="543">
        <f t="shared" si="25"/>
        <v>0</v>
      </c>
      <c r="J160" s="1596">
        <v>0</v>
      </c>
    </row>
    <row r="161" spans="1:10" ht="16.5" customHeight="1" thickBot="1">
      <c r="A161" s="535" t="s">
        <v>54</v>
      </c>
      <c r="B161" s="1580">
        <f>SUM(B129:B160)</f>
        <v>9792676</v>
      </c>
      <c r="C161" s="1581">
        <f t="shared" ref="C161:G161" si="27">SUM(C129:C160)</f>
        <v>9382037</v>
      </c>
      <c r="D161" s="1581">
        <f t="shared" si="27"/>
        <v>2000000</v>
      </c>
      <c r="E161" s="1581">
        <f t="shared" si="27"/>
        <v>2224198</v>
      </c>
      <c r="F161" s="536">
        <f t="shared" si="27"/>
        <v>6839200</v>
      </c>
      <c r="G161" s="1580">
        <f t="shared" si="27"/>
        <v>-7792676</v>
      </c>
      <c r="H161" s="1615">
        <v>-0.56666141974163442</v>
      </c>
      <c r="I161" s="1616">
        <f>SUM(I129:I160)</f>
        <v>4839200</v>
      </c>
      <c r="J161" s="1615">
        <v>-0.65855504979929158</v>
      </c>
    </row>
    <row r="162" spans="1:10" ht="12.75">
      <c r="A162" s="537" t="s">
        <v>56</v>
      </c>
      <c r="B162" s="533"/>
      <c r="C162" s="533"/>
      <c r="D162" s="533"/>
      <c r="E162" s="533"/>
      <c r="F162" s="533"/>
      <c r="G162" s="533"/>
      <c r="H162" s="533"/>
      <c r="I162" s="533"/>
      <c r="J162" s="783"/>
    </row>
    <row r="163" spans="1:10" ht="12.75">
      <c r="A163" s="537" t="s">
        <v>332</v>
      </c>
      <c r="B163" s="538"/>
      <c r="C163" s="538"/>
      <c r="D163" s="538"/>
      <c r="E163" s="538"/>
      <c r="F163" s="538"/>
      <c r="G163" s="538"/>
      <c r="H163" s="538"/>
      <c r="I163" s="538"/>
      <c r="J163" s="783"/>
    </row>
    <row r="164" spans="1:10" ht="12.75">
      <c r="A164" s="537" t="s">
        <v>158</v>
      </c>
      <c r="B164" s="533"/>
      <c r="C164" s="533"/>
      <c r="D164" s="533"/>
      <c r="E164" s="533"/>
      <c r="F164" s="533"/>
      <c r="G164" s="533"/>
      <c r="H164" s="533"/>
      <c r="I164" s="533"/>
      <c r="J164" s="783"/>
    </row>
  </sheetData>
  <mergeCells count="40">
    <mergeCell ref="A127:A128"/>
    <mergeCell ref="B127:B128"/>
    <mergeCell ref="C127:C128"/>
    <mergeCell ref="D127:D128"/>
    <mergeCell ref="E127:E128"/>
    <mergeCell ref="F127:F128"/>
    <mergeCell ref="G45:G46"/>
    <mergeCell ref="H45:H46"/>
    <mergeCell ref="I45:I46"/>
    <mergeCell ref="J45:J46"/>
    <mergeCell ref="F86:F87"/>
    <mergeCell ref="G127:G128"/>
    <mergeCell ref="H127:H128"/>
    <mergeCell ref="I127:I128"/>
    <mergeCell ref="J127:J128"/>
    <mergeCell ref="G86:G87"/>
    <mergeCell ref="H86:H87"/>
    <mergeCell ref="I86:I87"/>
    <mergeCell ref="J86:J87"/>
    <mergeCell ref="A86:A87"/>
    <mergeCell ref="B86:B87"/>
    <mergeCell ref="C86:C87"/>
    <mergeCell ref="D86:D87"/>
    <mergeCell ref="E86:E87"/>
    <mergeCell ref="G4:G5"/>
    <mergeCell ref="H4:H5"/>
    <mergeCell ref="I4:I5"/>
    <mergeCell ref="J4:J5"/>
    <mergeCell ref="A45:A46"/>
    <mergeCell ref="B45:B46"/>
    <mergeCell ref="C45:C46"/>
    <mergeCell ref="D45:D46"/>
    <mergeCell ref="E45:E46"/>
    <mergeCell ref="F45:F46"/>
    <mergeCell ref="A4:A5"/>
    <mergeCell ref="B4:B5"/>
    <mergeCell ref="C4:C5"/>
    <mergeCell ref="D4:D5"/>
    <mergeCell ref="E4:E5"/>
    <mergeCell ref="F4:F5"/>
  </mergeCells>
  <printOptions horizontalCentered="1"/>
  <pageMargins left="0.23622047244094491" right="0.23622047244094491" top="0.94488188976377963" bottom="0.74803149606299213" header="0.51181102362204722" footer="0.31496062992125984"/>
  <pageSetup paperSize="9" scale="80" orientation="landscape" r:id="rId1"/>
  <headerFooter alignWithMargins="0">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rowBreaks count="3" manualBreakCount="3">
    <brk id="42" max="9" man="1"/>
    <brk id="83" max="16383" man="1"/>
    <brk id="124" max="16383" man="1"/>
  </rowBreaks>
  <ignoredErrors>
    <ignoredError sqref="H7:H38 H47:H79 H88:H118 H120 H145:I145 I88:J118 J120 I119 I47:I79 I6:I38 H130 H131 H132 H133 H134 H135 H136 H137 H138 H139 H140 H141 H142 H143 H144 H158 H146 H147 H148 H149 H150 H151 H152 H153 H154 H155 H156 H157"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9FA61-A3A3-4235-8068-388935DFFF13}">
  <sheetPr>
    <tabColor theme="8" tint="-0.249977111117893"/>
  </sheetPr>
  <dimension ref="A1:N85"/>
  <sheetViews>
    <sheetView showGridLines="0" view="pageBreakPreview" topLeftCell="A55" zoomScale="80" zoomScaleNormal="80" zoomScaleSheetLayoutView="80" zoomScalePageLayoutView="85" workbookViewId="0">
      <selection activeCell="A3" sqref="A3"/>
    </sheetView>
  </sheetViews>
  <sheetFormatPr baseColWidth="10" defaultColWidth="11.42578125" defaultRowHeight="12"/>
  <cols>
    <col min="1" max="1" width="62.140625" style="404" customWidth="1"/>
    <col min="2" max="2" width="10.85546875" style="404" customWidth="1"/>
    <col min="3" max="7" width="15.7109375" style="404" customWidth="1"/>
    <col min="8" max="8" width="26.7109375" style="404" customWidth="1"/>
    <col min="9" max="9" width="12.85546875" style="404" customWidth="1"/>
    <col min="10" max="10" width="14.42578125" style="404" customWidth="1"/>
    <col min="11" max="11" width="14.5703125" style="404" customWidth="1"/>
    <col min="12" max="12" width="15.7109375" style="404" customWidth="1"/>
    <col min="13" max="13" width="11" style="404" customWidth="1"/>
    <col min="14" max="14" width="16.85546875" style="404" customWidth="1"/>
    <col min="15" max="16384" width="11.42578125" style="404"/>
  </cols>
  <sheetData>
    <row r="1" spans="1:14" s="380" customFormat="1" ht="15.75" customHeight="1">
      <c r="A1" s="399" t="s">
        <v>408</v>
      </c>
      <c r="B1" s="399"/>
      <c r="C1" s="399"/>
      <c r="D1" s="399"/>
      <c r="E1" s="399"/>
      <c r="F1" s="399"/>
      <c r="G1" s="399"/>
      <c r="H1" s="399"/>
      <c r="I1" s="399"/>
      <c r="J1" s="399"/>
      <c r="K1" s="399"/>
      <c r="L1" s="399"/>
      <c r="M1" s="399"/>
      <c r="N1" s="399"/>
    </row>
    <row r="2" spans="1:14">
      <c r="A2" s="399" t="s">
        <v>746</v>
      </c>
      <c r="B2" s="399"/>
      <c r="C2" s="399"/>
      <c r="D2" s="399"/>
      <c r="E2" s="399"/>
      <c r="F2" s="399"/>
      <c r="G2" s="399"/>
      <c r="H2" s="399"/>
      <c r="I2" s="399"/>
      <c r="J2" s="399"/>
      <c r="K2" s="399"/>
      <c r="L2" s="399"/>
      <c r="M2" s="399"/>
      <c r="N2" s="399"/>
    </row>
    <row r="3" spans="1:14">
      <c r="A3" s="399"/>
      <c r="B3" s="399"/>
      <c r="C3" s="399"/>
      <c r="D3" s="399"/>
      <c r="E3" s="399"/>
      <c r="F3" s="399"/>
      <c r="G3" s="399"/>
      <c r="H3" s="399"/>
      <c r="I3" s="399"/>
      <c r="J3" s="399"/>
      <c r="K3" s="399"/>
      <c r="L3" s="399"/>
      <c r="M3" s="399"/>
      <c r="N3" s="399"/>
    </row>
    <row r="4" spans="1:14">
      <c r="B4" s="399"/>
      <c r="C4" s="399"/>
      <c r="D4" s="399"/>
      <c r="E4" s="399"/>
      <c r="F4" s="399"/>
      <c r="G4" s="399"/>
      <c r="H4" s="399"/>
      <c r="I4" s="399"/>
      <c r="J4" s="399"/>
      <c r="K4" s="399"/>
      <c r="L4" s="399"/>
      <c r="M4" s="399"/>
      <c r="N4" s="399"/>
    </row>
    <row r="5" spans="1:14">
      <c r="A5" s="399" t="s">
        <v>745</v>
      </c>
      <c r="B5" s="399"/>
      <c r="C5" s="399"/>
      <c r="D5" s="399"/>
      <c r="E5" s="399"/>
      <c r="F5" s="399"/>
      <c r="G5" s="399"/>
      <c r="H5" s="399"/>
      <c r="I5" s="399"/>
      <c r="J5" s="399"/>
      <c r="K5" s="399"/>
      <c r="L5" s="399"/>
      <c r="M5" s="399"/>
      <c r="N5" s="399"/>
    </row>
    <row r="6" spans="1:14" ht="12.75" thickBot="1">
      <c r="A6" s="458" t="s">
        <v>744</v>
      </c>
      <c r="B6" s="382"/>
      <c r="C6" s="276"/>
      <c r="D6" s="276"/>
      <c r="E6" s="276"/>
      <c r="F6" s="276"/>
      <c r="G6" s="382"/>
      <c r="H6" s="382"/>
      <c r="I6" s="276"/>
      <c r="J6" s="276"/>
      <c r="K6" s="276"/>
      <c r="L6" s="276"/>
      <c r="M6" s="276"/>
      <c r="N6" s="276"/>
    </row>
    <row r="7" spans="1:14" ht="36">
      <c r="A7" s="457" t="s">
        <v>85</v>
      </c>
      <c r="B7" s="405" t="s">
        <v>86</v>
      </c>
      <c r="C7" s="405" t="s">
        <v>87</v>
      </c>
      <c r="D7" s="405" t="s">
        <v>198</v>
      </c>
      <c r="E7" s="405" t="s">
        <v>199</v>
      </c>
      <c r="F7" s="405" t="s">
        <v>235</v>
      </c>
      <c r="G7" s="405" t="s">
        <v>159</v>
      </c>
      <c r="H7" s="405" t="s">
        <v>197</v>
      </c>
      <c r="I7" s="405" t="s">
        <v>161</v>
      </c>
      <c r="J7" s="405" t="s">
        <v>160</v>
      </c>
      <c r="K7" s="405" t="s">
        <v>162</v>
      </c>
      <c r="L7" s="405" t="s">
        <v>163</v>
      </c>
      <c r="M7" s="405" t="s">
        <v>164</v>
      </c>
      <c r="N7" s="405" t="s">
        <v>165</v>
      </c>
    </row>
    <row r="8" spans="1:14" ht="20.100000000000001" customHeight="1">
      <c r="A8" s="456" t="s">
        <v>743</v>
      </c>
      <c r="B8" s="455"/>
      <c r="C8" s="455"/>
      <c r="D8" s="455"/>
      <c r="E8" s="455"/>
      <c r="F8" s="455"/>
      <c r="G8" s="455"/>
      <c r="H8" s="455"/>
      <c r="I8" s="455"/>
      <c r="J8" s="455"/>
      <c r="K8" s="455"/>
      <c r="L8" s="455"/>
      <c r="M8" s="455"/>
      <c r="N8" s="455"/>
    </row>
    <row r="9" spans="1:14" ht="60">
      <c r="A9" s="443" t="s">
        <v>742</v>
      </c>
      <c r="B9" s="442">
        <v>335521</v>
      </c>
      <c r="C9" s="441" t="s">
        <v>716</v>
      </c>
      <c r="D9" s="441" t="s">
        <v>703</v>
      </c>
      <c r="E9" s="437" t="s">
        <v>741</v>
      </c>
      <c r="F9" s="440">
        <v>1539402</v>
      </c>
      <c r="G9" s="454">
        <v>43472</v>
      </c>
      <c r="H9" s="443" t="s">
        <v>740</v>
      </c>
      <c r="I9" s="437" t="s">
        <v>700</v>
      </c>
      <c r="J9" s="436">
        <v>43659</v>
      </c>
      <c r="K9" s="406"/>
      <c r="L9" s="406"/>
      <c r="M9" s="436">
        <v>43749</v>
      </c>
      <c r="N9" s="436">
        <v>43839</v>
      </c>
    </row>
    <row r="10" spans="1:14" ht="60">
      <c r="A10" s="443" t="s">
        <v>739</v>
      </c>
      <c r="B10" s="442">
        <v>2409425</v>
      </c>
      <c r="C10" s="441" t="s">
        <v>707</v>
      </c>
      <c r="D10" s="441" t="s">
        <v>703</v>
      </c>
      <c r="E10" s="437" t="s">
        <v>738</v>
      </c>
      <c r="F10" s="440">
        <v>6842320</v>
      </c>
      <c r="G10" s="454">
        <v>43521</v>
      </c>
      <c r="H10" s="443" t="s">
        <v>737</v>
      </c>
      <c r="I10" s="449" t="s">
        <v>736</v>
      </c>
      <c r="J10" s="436">
        <v>43828</v>
      </c>
      <c r="K10" s="406"/>
      <c r="L10" s="406"/>
      <c r="M10" s="436">
        <v>43918</v>
      </c>
      <c r="N10" s="436">
        <v>44008</v>
      </c>
    </row>
    <row r="11" spans="1:14" ht="78" customHeight="1">
      <c r="A11" s="443" t="s">
        <v>735</v>
      </c>
      <c r="B11" s="442">
        <v>337401</v>
      </c>
      <c r="C11" s="441" t="s">
        <v>716</v>
      </c>
      <c r="D11" s="441" t="s">
        <v>703</v>
      </c>
      <c r="E11" s="437" t="s">
        <v>734</v>
      </c>
      <c r="F11" s="440">
        <v>1504666</v>
      </c>
      <c r="G11" s="454">
        <v>43529</v>
      </c>
      <c r="H11" s="438" t="s">
        <v>733</v>
      </c>
      <c r="I11" s="437" t="s">
        <v>700</v>
      </c>
      <c r="J11" s="436">
        <v>43716</v>
      </c>
      <c r="K11" s="406"/>
      <c r="L11" s="406"/>
      <c r="M11" s="436">
        <v>43806</v>
      </c>
      <c r="N11" s="436">
        <v>43896</v>
      </c>
    </row>
    <row r="12" spans="1:14" ht="102" customHeight="1">
      <c r="A12" s="453" t="s">
        <v>732</v>
      </c>
      <c r="B12" s="442">
        <v>172953</v>
      </c>
      <c r="C12" s="441" t="s">
        <v>716</v>
      </c>
      <c r="D12" s="441" t="s">
        <v>703</v>
      </c>
      <c r="E12" s="437" t="s">
        <v>731</v>
      </c>
      <c r="F12" s="440">
        <v>1618962</v>
      </c>
      <c r="G12" s="452">
        <v>43538</v>
      </c>
      <c r="H12" s="438" t="s">
        <v>730</v>
      </c>
      <c r="I12" s="437" t="s">
        <v>700</v>
      </c>
      <c r="J12" s="436">
        <v>43725</v>
      </c>
      <c r="K12" s="406"/>
      <c r="L12" s="406"/>
      <c r="M12" s="436">
        <v>43815</v>
      </c>
      <c r="N12" s="436">
        <v>43905</v>
      </c>
    </row>
    <row r="13" spans="1:14" ht="48">
      <c r="A13" s="451" t="s">
        <v>729</v>
      </c>
      <c r="B13" s="442">
        <v>48806</v>
      </c>
      <c r="C13" s="441" t="s">
        <v>716</v>
      </c>
      <c r="D13" s="441" t="s">
        <v>703</v>
      </c>
      <c r="E13" s="437" t="s">
        <v>728</v>
      </c>
      <c r="F13" s="440">
        <v>493150</v>
      </c>
      <c r="G13" s="450">
        <v>43753</v>
      </c>
      <c r="H13" s="438" t="s">
        <v>727</v>
      </c>
      <c r="I13" s="449" t="s">
        <v>726</v>
      </c>
      <c r="J13" s="436">
        <v>43850</v>
      </c>
      <c r="K13" s="406"/>
      <c r="L13" s="406"/>
      <c r="M13" s="436">
        <v>43940</v>
      </c>
      <c r="N13" s="436">
        <v>44030</v>
      </c>
    </row>
    <row r="14" spans="1:14" ht="36">
      <c r="A14" s="443" t="s">
        <v>725</v>
      </c>
      <c r="B14" s="442">
        <v>273083</v>
      </c>
      <c r="C14" s="441" t="s">
        <v>707</v>
      </c>
      <c r="D14" s="441" t="s">
        <v>703</v>
      </c>
      <c r="E14" s="437" t="s">
        <v>724</v>
      </c>
      <c r="F14" s="440">
        <v>2469953</v>
      </c>
      <c r="G14" s="450">
        <v>43761</v>
      </c>
      <c r="H14" s="438" t="s">
        <v>723</v>
      </c>
      <c r="I14" s="449" t="s">
        <v>722</v>
      </c>
      <c r="J14" s="436">
        <v>44128</v>
      </c>
      <c r="K14" s="406"/>
      <c r="L14" s="406"/>
      <c r="M14" s="436">
        <v>44218</v>
      </c>
      <c r="N14" s="436">
        <v>44308</v>
      </c>
    </row>
    <row r="15" spans="1:14" ht="76.5" customHeight="1">
      <c r="A15" s="443" t="s">
        <v>721</v>
      </c>
      <c r="B15" s="442">
        <v>213417</v>
      </c>
      <c r="C15" s="441" t="s">
        <v>716</v>
      </c>
      <c r="D15" s="441" t="s">
        <v>703</v>
      </c>
      <c r="E15" s="437" t="s">
        <v>720</v>
      </c>
      <c r="F15" s="440">
        <v>773252</v>
      </c>
      <c r="G15" s="450">
        <v>43762</v>
      </c>
      <c r="H15" s="438" t="s">
        <v>719</v>
      </c>
      <c r="I15" s="449" t="s">
        <v>718</v>
      </c>
      <c r="J15" s="436">
        <v>43889</v>
      </c>
      <c r="K15" s="406"/>
      <c r="L15" s="406"/>
      <c r="M15" s="436">
        <v>43979</v>
      </c>
      <c r="N15" s="436">
        <v>44069</v>
      </c>
    </row>
    <row r="16" spans="1:14" ht="36">
      <c r="A16" s="443" t="s">
        <v>717</v>
      </c>
      <c r="B16" s="442">
        <v>85365</v>
      </c>
      <c r="C16" s="441" t="s">
        <v>716</v>
      </c>
      <c r="D16" s="441" t="s">
        <v>703</v>
      </c>
      <c r="E16" s="437" t="s">
        <v>715</v>
      </c>
      <c r="F16" s="440">
        <v>241800</v>
      </c>
      <c r="G16" s="450">
        <v>43766</v>
      </c>
      <c r="H16" s="438" t="s">
        <v>714</v>
      </c>
      <c r="I16" s="449" t="s">
        <v>700</v>
      </c>
      <c r="J16" s="436">
        <v>43953</v>
      </c>
      <c r="K16" s="406"/>
      <c r="L16" s="406"/>
      <c r="M16" s="436">
        <v>44043</v>
      </c>
      <c r="N16" s="436">
        <v>44133</v>
      </c>
    </row>
    <row r="17" spans="1:14" ht="37.5" customHeight="1">
      <c r="A17" s="443" t="s">
        <v>713</v>
      </c>
      <c r="B17" s="442">
        <v>2378012</v>
      </c>
      <c r="C17" s="441" t="s">
        <v>707</v>
      </c>
      <c r="D17" s="441" t="s">
        <v>703</v>
      </c>
      <c r="E17" s="437" t="s">
        <v>712</v>
      </c>
      <c r="F17" s="440">
        <v>3650000</v>
      </c>
      <c r="G17" s="450">
        <v>43776</v>
      </c>
      <c r="H17" s="438" t="s">
        <v>711</v>
      </c>
      <c r="I17" s="449" t="s">
        <v>710</v>
      </c>
      <c r="J17" s="436">
        <v>44203</v>
      </c>
      <c r="K17" s="406"/>
      <c r="L17" s="406"/>
      <c r="M17" s="436">
        <v>44330</v>
      </c>
      <c r="N17" s="436">
        <v>44420</v>
      </c>
    </row>
    <row r="18" spans="1:14" ht="20.100000000000001" customHeight="1" thickBot="1">
      <c r="A18" s="426" t="s">
        <v>0</v>
      </c>
      <c r="B18" s="426"/>
      <c r="C18" s="422"/>
      <c r="D18" s="422"/>
      <c r="E18" s="422"/>
      <c r="F18" s="448">
        <f>SUM(F9:F17)</f>
        <v>19133505</v>
      </c>
      <c r="G18" s="422"/>
      <c r="H18" s="447"/>
      <c r="I18" s="422"/>
      <c r="J18" s="422"/>
      <c r="K18" s="422"/>
      <c r="L18" s="422"/>
      <c r="M18" s="422"/>
      <c r="N18" s="422"/>
    </row>
    <row r="19" spans="1:14" ht="20.100000000000001" customHeight="1">
      <c r="A19" s="446" t="s">
        <v>709</v>
      </c>
      <c r="B19" s="444"/>
      <c r="C19" s="444"/>
      <c r="D19" s="444"/>
      <c r="E19" s="444"/>
      <c r="F19" s="444"/>
      <c r="G19" s="444"/>
      <c r="H19" s="445"/>
      <c r="I19" s="444"/>
      <c r="J19" s="444"/>
      <c r="K19" s="444"/>
      <c r="L19" s="444"/>
      <c r="M19" s="444"/>
      <c r="N19" s="444"/>
    </row>
    <row r="20" spans="1:14" ht="56.25" customHeight="1">
      <c r="A20" s="443" t="s">
        <v>708</v>
      </c>
      <c r="B20" s="442">
        <v>371531</v>
      </c>
      <c r="C20" s="441" t="s">
        <v>707</v>
      </c>
      <c r="D20" s="441" t="s">
        <v>703</v>
      </c>
      <c r="E20" s="437" t="s">
        <v>706</v>
      </c>
      <c r="F20" s="440">
        <v>3103435</v>
      </c>
      <c r="G20" s="439">
        <v>43836</v>
      </c>
      <c r="H20" s="438" t="s">
        <v>705</v>
      </c>
      <c r="I20" s="437" t="s">
        <v>700</v>
      </c>
      <c r="J20" s="436">
        <v>44023</v>
      </c>
      <c r="K20" s="406"/>
      <c r="L20" s="406"/>
      <c r="M20" s="436">
        <v>44210</v>
      </c>
      <c r="N20" s="436">
        <v>44300</v>
      </c>
    </row>
    <row r="21" spans="1:14" ht="36">
      <c r="A21" s="435" t="s">
        <v>704</v>
      </c>
      <c r="B21" s="434">
        <v>2085629</v>
      </c>
      <c r="C21" s="433" t="s">
        <v>581</v>
      </c>
      <c r="D21" s="433" t="s">
        <v>703</v>
      </c>
      <c r="E21" s="429" t="s">
        <v>702</v>
      </c>
      <c r="F21" s="432">
        <v>2090724</v>
      </c>
      <c r="G21" s="431">
        <v>43902</v>
      </c>
      <c r="H21" s="430" t="s">
        <v>701</v>
      </c>
      <c r="I21" s="429" t="s">
        <v>700</v>
      </c>
      <c r="J21" s="427">
        <v>44089</v>
      </c>
      <c r="K21" s="428"/>
      <c r="L21" s="428"/>
      <c r="M21" s="427">
        <v>44246</v>
      </c>
      <c r="N21" s="427">
        <v>44276</v>
      </c>
    </row>
    <row r="22" spans="1:14" ht="20.100000000000001" customHeight="1" thickBot="1">
      <c r="A22" s="426" t="s">
        <v>0</v>
      </c>
      <c r="B22" s="425"/>
      <c r="C22" s="422"/>
      <c r="D22" s="424"/>
      <c r="E22" s="424"/>
      <c r="F22" s="423">
        <f>SUM(F20:F21)</f>
        <v>5194159</v>
      </c>
      <c r="G22" s="422"/>
      <c r="H22" s="422"/>
      <c r="I22" s="422"/>
      <c r="J22" s="422"/>
      <c r="K22" s="422"/>
      <c r="L22" s="422"/>
      <c r="M22" s="422"/>
      <c r="N22" s="422"/>
    </row>
    <row r="23" spans="1:14">
      <c r="A23" s="378" t="s">
        <v>336</v>
      </c>
      <c r="B23" s="379"/>
      <c r="C23" s="379"/>
      <c r="D23" s="379"/>
      <c r="E23" s="379"/>
      <c r="F23" s="379"/>
      <c r="G23" s="379"/>
      <c r="H23" s="379"/>
      <c r="I23" s="379"/>
      <c r="J23" s="379"/>
      <c r="K23" s="379"/>
      <c r="L23" s="379"/>
      <c r="M23" s="276"/>
      <c r="N23" s="276"/>
    </row>
    <row r="24" spans="1:14">
      <c r="A24" s="383"/>
    </row>
    <row r="25" spans="1:14">
      <c r="A25" s="383"/>
    </row>
    <row r="26" spans="1:14">
      <c r="A26" s="399"/>
      <c r="B26" s="399"/>
      <c r="C26" s="399"/>
      <c r="D26" s="399"/>
      <c r="E26" s="399"/>
      <c r="F26" s="399"/>
      <c r="G26" s="399"/>
      <c r="H26" s="399"/>
      <c r="I26" s="399"/>
      <c r="J26" s="399"/>
      <c r="K26" s="399"/>
      <c r="L26" s="399"/>
      <c r="M26" s="399"/>
      <c r="N26" s="399"/>
    </row>
    <row r="27" spans="1:14">
      <c r="A27" s="399"/>
      <c r="B27" s="399"/>
      <c r="C27" s="399"/>
      <c r="D27" s="399"/>
      <c r="E27" s="399"/>
      <c r="F27" s="399"/>
      <c r="G27" s="399"/>
      <c r="H27" s="399"/>
      <c r="I27" s="399"/>
      <c r="J27" s="399"/>
      <c r="K27" s="399"/>
      <c r="L27" s="399"/>
      <c r="M27" s="399"/>
      <c r="N27" s="399"/>
    </row>
    <row r="28" spans="1:14" ht="12.75" thickBot="1">
      <c r="A28" s="381" t="s">
        <v>699</v>
      </c>
      <c r="B28" s="382"/>
      <c r="G28" s="382"/>
      <c r="H28" s="382"/>
    </row>
    <row r="29" spans="1:14" ht="36.75" thickBot="1">
      <c r="A29" s="401" t="s">
        <v>85</v>
      </c>
      <c r="B29" s="403" t="s">
        <v>86</v>
      </c>
      <c r="C29" s="402" t="s">
        <v>87</v>
      </c>
      <c r="D29" s="402" t="s">
        <v>198</v>
      </c>
      <c r="E29" s="402" t="s">
        <v>199</v>
      </c>
      <c r="F29" s="402" t="s">
        <v>235</v>
      </c>
      <c r="G29" s="402" t="s">
        <v>159</v>
      </c>
      <c r="H29" s="402" t="s">
        <v>197</v>
      </c>
      <c r="I29" s="402" t="s">
        <v>161</v>
      </c>
      <c r="J29" s="402" t="s">
        <v>160</v>
      </c>
      <c r="K29" s="402" t="s">
        <v>162</v>
      </c>
      <c r="L29" s="402" t="s">
        <v>163</v>
      </c>
      <c r="M29" s="402" t="s">
        <v>164</v>
      </c>
      <c r="N29" s="402" t="s">
        <v>165</v>
      </c>
    </row>
    <row r="30" spans="1:14" ht="20.100000000000001" customHeight="1">
      <c r="A30" s="393">
        <v>1</v>
      </c>
      <c r="B30" s="394"/>
      <c r="C30" s="390"/>
      <c r="D30" s="390"/>
      <c r="E30" s="390"/>
      <c r="F30" s="390"/>
      <c r="G30" s="390"/>
      <c r="H30" s="390"/>
      <c r="I30" s="390"/>
      <c r="J30" s="390"/>
      <c r="K30" s="390"/>
      <c r="L30" s="390"/>
      <c r="M30" s="389"/>
      <c r="N30" s="389"/>
    </row>
    <row r="31" spans="1:14" ht="20.100000000000001" customHeight="1">
      <c r="A31" s="393">
        <v>2</v>
      </c>
      <c r="B31" s="394"/>
      <c r="C31" s="390"/>
      <c r="D31" s="390"/>
      <c r="E31" s="390"/>
      <c r="F31" s="390"/>
      <c r="G31" s="390"/>
      <c r="H31" s="390"/>
      <c r="I31" s="390"/>
      <c r="J31" s="390"/>
      <c r="K31" s="390"/>
      <c r="L31" s="390"/>
      <c r="M31" s="389"/>
      <c r="N31" s="389"/>
    </row>
    <row r="32" spans="1:14" ht="20.100000000000001" customHeight="1">
      <c r="A32" s="393">
        <v>3</v>
      </c>
      <c r="B32" s="394"/>
      <c r="C32" s="390"/>
      <c r="D32" s="390"/>
      <c r="E32" s="390"/>
      <c r="F32" s="390"/>
      <c r="G32" s="390"/>
      <c r="H32" s="390"/>
      <c r="I32" s="390"/>
      <c r="J32" s="390"/>
      <c r="K32" s="390"/>
      <c r="L32" s="390"/>
      <c r="M32" s="389"/>
      <c r="N32" s="389"/>
    </row>
    <row r="33" spans="1:14" ht="20.100000000000001" customHeight="1">
      <c r="A33" s="393">
        <v>4</v>
      </c>
      <c r="B33" s="394"/>
      <c r="C33" s="390"/>
      <c r="D33" s="390"/>
      <c r="E33" s="390"/>
      <c r="F33" s="390"/>
      <c r="G33" s="390"/>
      <c r="H33" s="390"/>
      <c r="I33" s="390"/>
      <c r="J33" s="390"/>
      <c r="K33" s="390"/>
      <c r="L33" s="390"/>
      <c r="M33" s="389"/>
      <c r="N33" s="389"/>
    </row>
    <row r="34" spans="1:14" ht="20.100000000000001" customHeight="1">
      <c r="A34" s="393">
        <v>5</v>
      </c>
      <c r="B34" s="394"/>
      <c r="C34" s="390"/>
      <c r="D34" s="390"/>
      <c r="E34" s="390"/>
      <c r="F34" s="390"/>
      <c r="G34" s="390"/>
      <c r="H34" s="390"/>
      <c r="I34" s="390"/>
      <c r="J34" s="390"/>
      <c r="K34" s="390"/>
      <c r="L34" s="390"/>
      <c r="M34" s="389"/>
      <c r="N34" s="389"/>
    </row>
    <row r="35" spans="1:14" ht="20.100000000000001" customHeight="1">
      <c r="A35" s="393">
        <v>6</v>
      </c>
      <c r="B35" s="394"/>
      <c r="C35" s="390"/>
      <c r="D35" s="390"/>
      <c r="E35" s="390"/>
      <c r="F35" s="390"/>
      <c r="G35" s="390"/>
      <c r="H35" s="390"/>
      <c r="I35" s="390"/>
      <c r="J35" s="390"/>
      <c r="K35" s="390"/>
      <c r="L35" s="390"/>
      <c r="M35" s="389"/>
      <c r="N35" s="389"/>
    </row>
    <row r="36" spans="1:14" ht="20.100000000000001" customHeight="1">
      <c r="A36" s="393">
        <v>7</v>
      </c>
      <c r="B36" s="394"/>
      <c r="C36" s="390"/>
      <c r="D36" s="390"/>
      <c r="E36" s="390"/>
      <c r="F36" s="390"/>
      <c r="G36" s="390"/>
      <c r="H36" s="390"/>
      <c r="I36" s="390"/>
      <c r="J36" s="390"/>
      <c r="K36" s="390"/>
      <c r="L36" s="390"/>
      <c r="M36" s="389"/>
      <c r="N36" s="389"/>
    </row>
    <row r="37" spans="1:14" ht="20.100000000000001" customHeight="1">
      <c r="A37" s="393">
        <v>8</v>
      </c>
      <c r="B37" s="394"/>
      <c r="C37" s="390"/>
      <c r="D37" s="390"/>
      <c r="E37" s="390"/>
      <c r="F37" s="390"/>
      <c r="G37" s="390"/>
      <c r="H37" s="390"/>
      <c r="I37" s="390"/>
      <c r="J37" s="390"/>
      <c r="K37" s="390"/>
      <c r="L37" s="390"/>
      <c r="M37" s="389"/>
      <c r="N37" s="389"/>
    </row>
    <row r="38" spans="1:14" ht="20.100000000000001" customHeight="1">
      <c r="A38" s="393">
        <v>9</v>
      </c>
      <c r="B38" s="394"/>
      <c r="C38" s="390"/>
      <c r="D38" s="390"/>
      <c r="E38" s="390"/>
      <c r="F38" s="390"/>
      <c r="G38" s="390"/>
      <c r="H38" s="390"/>
      <c r="I38" s="390"/>
      <c r="J38" s="390"/>
      <c r="K38" s="390"/>
      <c r="L38" s="390"/>
      <c r="M38" s="389"/>
      <c r="N38" s="389"/>
    </row>
    <row r="39" spans="1:14" ht="20.100000000000001" customHeight="1">
      <c r="A39" s="393">
        <v>10</v>
      </c>
      <c r="B39" s="394"/>
      <c r="C39" s="390"/>
      <c r="D39" s="390"/>
      <c r="E39" s="390"/>
      <c r="F39" s="390"/>
      <c r="G39" s="390"/>
      <c r="H39" s="390"/>
      <c r="I39" s="390"/>
      <c r="J39" s="390"/>
      <c r="K39" s="390"/>
      <c r="L39" s="390"/>
      <c r="M39" s="389"/>
      <c r="N39" s="389"/>
    </row>
    <row r="40" spans="1:14" ht="20.100000000000001" customHeight="1">
      <c r="A40" s="393">
        <v>11</v>
      </c>
      <c r="B40" s="394"/>
      <c r="C40" s="390"/>
      <c r="D40" s="390"/>
      <c r="E40" s="390"/>
      <c r="F40" s="390"/>
      <c r="G40" s="390"/>
      <c r="H40" s="390"/>
      <c r="I40" s="390"/>
      <c r="J40" s="390"/>
      <c r="K40" s="390"/>
      <c r="L40" s="390"/>
      <c r="M40" s="389"/>
      <c r="N40" s="389"/>
    </row>
    <row r="41" spans="1:14" ht="20.100000000000001" customHeight="1">
      <c r="A41" s="393">
        <v>12</v>
      </c>
      <c r="B41" s="394"/>
      <c r="C41" s="390"/>
      <c r="D41" s="390"/>
      <c r="E41" s="390"/>
      <c r="F41" s="390"/>
      <c r="G41" s="390"/>
      <c r="H41" s="390"/>
      <c r="I41" s="390"/>
      <c r="J41" s="390"/>
      <c r="K41" s="390"/>
      <c r="L41" s="390"/>
      <c r="M41" s="389"/>
      <c r="N41" s="389"/>
    </row>
    <row r="42" spans="1:14" ht="20.100000000000001" customHeight="1">
      <c r="A42" s="393">
        <v>13</v>
      </c>
      <c r="B42" s="394"/>
      <c r="C42" s="390"/>
      <c r="D42" s="390"/>
      <c r="E42" s="390"/>
      <c r="F42" s="390"/>
      <c r="G42" s="390"/>
      <c r="H42" s="390"/>
      <c r="I42" s="390"/>
      <c r="J42" s="390"/>
      <c r="K42" s="390"/>
      <c r="L42" s="390"/>
      <c r="M42" s="389"/>
      <c r="N42" s="389"/>
    </row>
    <row r="43" spans="1:14" ht="20.100000000000001" customHeight="1">
      <c r="A43" s="393">
        <v>14</v>
      </c>
      <c r="B43" s="394"/>
      <c r="C43" s="390"/>
      <c r="D43" s="390"/>
      <c r="E43" s="390"/>
      <c r="F43" s="390"/>
      <c r="G43" s="390"/>
      <c r="H43" s="390"/>
      <c r="I43" s="390"/>
      <c r="J43" s="390"/>
      <c r="K43" s="390"/>
      <c r="L43" s="390"/>
      <c r="M43" s="389"/>
      <c r="N43" s="389"/>
    </row>
    <row r="44" spans="1:14" ht="20.100000000000001" customHeight="1">
      <c r="A44" s="393">
        <v>15</v>
      </c>
      <c r="B44" s="394"/>
      <c r="C44" s="390"/>
      <c r="D44" s="390"/>
      <c r="E44" s="390"/>
      <c r="F44" s="390"/>
      <c r="G44" s="390"/>
      <c r="H44" s="390"/>
      <c r="I44" s="390"/>
      <c r="J44" s="390"/>
      <c r="K44" s="390"/>
      <c r="L44" s="390"/>
      <c r="M44" s="389"/>
      <c r="N44" s="389"/>
    </row>
    <row r="45" spans="1:14" ht="20.100000000000001" customHeight="1">
      <c r="A45" s="393">
        <v>16</v>
      </c>
      <c r="B45" s="394"/>
      <c r="C45" s="390"/>
      <c r="D45" s="390"/>
      <c r="E45" s="390"/>
      <c r="F45" s="390"/>
      <c r="G45" s="390"/>
      <c r="H45" s="390"/>
      <c r="I45" s="390"/>
      <c r="J45" s="390"/>
      <c r="K45" s="390"/>
      <c r="L45" s="390"/>
      <c r="M45" s="389"/>
      <c r="N45" s="389"/>
    </row>
    <row r="46" spans="1:14" ht="20.100000000000001" customHeight="1">
      <c r="A46" s="393">
        <v>17</v>
      </c>
      <c r="B46" s="394"/>
      <c r="C46" s="390"/>
      <c r="D46" s="390"/>
      <c r="E46" s="390"/>
      <c r="F46" s="390"/>
      <c r="G46" s="390"/>
      <c r="H46" s="390"/>
      <c r="I46" s="390"/>
      <c r="J46" s="390"/>
      <c r="K46" s="390"/>
      <c r="L46" s="390"/>
      <c r="M46" s="389"/>
      <c r="N46" s="389"/>
    </row>
    <row r="47" spans="1:14" ht="20.100000000000001" customHeight="1">
      <c r="A47" s="393">
        <v>18</v>
      </c>
      <c r="B47" s="394"/>
      <c r="C47" s="390"/>
      <c r="D47" s="390"/>
      <c r="E47" s="390"/>
      <c r="F47" s="390"/>
      <c r="G47" s="390"/>
      <c r="H47" s="390"/>
      <c r="I47" s="390"/>
      <c r="J47" s="390"/>
      <c r="K47" s="390"/>
      <c r="L47" s="390"/>
      <c r="M47" s="389"/>
      <c r="N47" s="389"/>
    </row>
    <row r="48" spans="1:14" ht="20.100000000000001" customHeight="1">
      <c r="A48" s="393">
        <v>19</v>
      </c>
      <c r="B48" s="394"/>
      <c r="C48" s="390"/>
      <c r="D48" s="390"/>
      <c r="E48" s="390"/>
      <c r="F48" s="390"/>
      <c r="G48" s="390"/>
      <c r="H48" s="390"/>
      <c r="I48" s="390"/>
      <c r="J48" s="390"/>
      <c r="K48" s="390"/>
      <c r="L48" s="390"/>
      <c r="M48" s="389"/>
      <c r="N48" s="389"/>
    </row>
    <row r="49" spans="1:14" ht="20.100000000000001" customHeight="1">
      <c r="A49" s="393">
        <v>20</v>
      </c>
      <c r="B49" s="394"/>
      <c r="C49" s="390"/>
      <c r="D49" s="390"/>
      <c r="E49" s="390"/>
      <c r="F49" s="390"/>
      <c r="G49" s="390"/>
      <c r="H49" s="390"/>
      <c r="I49" s="390"/>
      <c r="J49" s="390"/>
      <c r="K49" s="390"/>
      <c r="L49" s="390"/>
      <c r="M49" s="389"/>
      <c r="N49" s="389"/>
    </row>
    <row r="50" spans="1:14" ht="20.100000000000001" customHeight="1" thickBot="1">
      <c r="A50" s="398" t="s">
        <v>97</v>
      </c>
      <c r="B50" s="396"/>
      <c r="C50" s="385"/>
      <c r="D50" s="385"/>
      <c r="E50" s="385"/>
      <c r="F50" s="385"/>
      <c r="G50" s="385"/>
      <c r="H50" s="385"/>
      <c r="I50" s="385"/>
      <c r="J50" s="385"/>
      <c r="K50" s="385"/>
      <c r="L50" s="385"/>
      <c r="M50" s="387"/>
      <c r="N50" s="387"/>
    </row>
    <row r="51" spans="1:14" ht="20.100000000000001" customHeight="1" thickBot="1">
      <c r="A51" s="384" t="s">
        <v>0</v>
      </c>
      <c r="B51" s="391"/>
      <c r="C51" s="388"/>
      <c r="D51" s="386"/>
      <c r="E51" s="386"/>
      <c r="F51" s="386"/>
      <c r="G51" s="388"/>
      <c r="H51" s="388"/>
      <c r="I51" s="388"/>
      <c r="J51" s="388"/>
      <c r="K51" s="388"/>
      <c r="L51" s="388"/>
      <c r="M51" s="388"/>
      <c r="N51" s="388"/>
    </row>
    <row r="52" spans="1:14">
      <c r="A52" s="378" t="s">
        <v>336</v>
      </c>
      <c r="B52" s="379"/>
      <c r="C52" s="379"/>
      <c r="D52" s="379"/>
      <c r="E52" s="379"/>
      <c r="F52" s="379"/>
      <c r="G52" s="379"/>
      <c r="H52" s="379"/>
      <c r="I52" s="379"/>
      <c r="J52" s="379"/>
      <c r="K52" s="379"/>
      <c r="L52" s="379"/>
    </row>
    <row r="53" spans="1:14">
      <c r="A53" s="383"/>
    </row>
    <row r="54" spans="1:14">
      <c r="A54" s="383"/>
    </row>
    <row r="55" spans="1:14">
      <c r="A55" s="383"/>
    </row>
    <row r="56" spans="1:14">
      <c r="A56" s="383"/>
    </row>
    <row r="57" spans="1:14">
      <c r="A57" s="399"/>
      <c r="B57" s="399"/>
      <c r="C57" s="399"/>
      <c r="D57" s="399"/>
      <c r="E57" s="399"/>
      <c r="F57" s="399"/>
      <c r="G57" s="399"/>
      <c r="H57" s="399"/>
      <c r="I57" s="399"/>
      <c r="J57" s="399"/>
      <c r="K57" s="399"/>
      <c r="L57" s="399"/>
      <c r="M57" s="399"/>
      <c r="N57" s="399"/>
    </row>
    <row r="58" spans="1:14">
      <c r="A58" s="399"/>
      <c r="B58" s="399"/>
      <c r="C58" s="399"/>
      <c r="D58" s="399"/>
      <c r="E58" s="399"/>
      <c r="F58" s="399"/>
      <c r="G58" s="399"/>
      <c r="H58" s="399"/>
      <c r="I58" s="399"/>
      <c r="J58" s="399"/>
      <c r="K58" s="399"/>
      <c r="L58" s="399"/>
      <c r="M58" s="399"/>
      <c r="N58" s="399"/>
    </row>
    <row r="59" spans="1:14" ht="12.75" thickBot="1">
      <c r="A59" s="381" t="s">
        <v>698</v>
      </c>
      <c r="B59" s="382"/>
      <c r="G59" s="382"/>
      <c r="H59" s="382"/>
    </row>
    <row r="60" spans="1:14" ht="12.75" hidden="1" thickBot="1">
      <c r="A60" s="397" t="s">
        <v>82</v>
      </c>
      <c r="B60" s="395"/>
      <c r="C60" s="392"/>
      <c r="D60" s="392"/>
      <c r="E60" s="392"/>
      <c r="F60" s="392"/>
      <c r="G60" s="392"/>
      <c r="H60" s="392"/>
      <c r="I60" s="392"/>
      <c r="J60" s="392"/>
      <c r="K60" s="392"/>
      <c r="L60" s="392"/>
      <c r="M60" s="392"/>
      <c r="N60" s="392"/>
    </row>
    <row r="61" spans="1:14" ht="36.75" thickBot="1">
      <c r="A61" s="401" t="s">
        <v>85</v>
      </c>
      <c r="B61" s="403" t="s">
        <v>86</v>
      </c>
      <c r="C61" s="402" t="s">
        <v>87</v>
      </c>
      <c r="D61" s="402" t="s">
        <v>198</v>
      </c>
      <c r="E61" s="402" t="s">
        <v>199</v>
      </c>
      <c r="F61" s="402" t="s">
        <v>235</v>
      </c>
      <c r="G61" s="402" t="s">
        <v>159</v>
      </c>
      <c r="H61" s="402" t="s">
        <v>197</v>
      </c>
      <c r="I61" s="402" t="s">
        <v>161</v>
      </c>
      <c r="J61" s="402" t="s">
        <v>160</v>
      </c>
      <c r="K61" s="402" t="s">
        <v>162</v>
      </c>
      <c r="L61" s="402" t="s">
        <v>163</v>
      </c>
      <c r="M61" s="402" t="s">
        <v>164</v>
      </c>
      <c r="N61" s="402" t="s">
        <v>165</v>
      </c>
    </row>
    <row r="62" spans="1:14" ht="20.100000000000001" customHeight="1">
      <c r="A62" s="393">
        <v>1</v>
      </c>
      <c r="B62" s="394"/>
      <c r="C62" s="390"/>
      <c r="D62" s="390"/>
      <c r="E62" s="390"/>
      <c r="F62" s="390"/>
      <c r="G62" s="390"/>
      <c r="H62" s="390"/>
      <c r="I62" s="390"/>
      <c r="J62" s="390"/>
      <c r="K62" s="390"/>
      <c r="L62" s="390"/>
      <c r="M62" s="389"/>
      <c r="N62" s="389"/>
    </row>
    <row r="63" spans="1:14" ht="20.100000000000001" customHeight="1">
      <c r="A63" s="393">
        <v>2</v>
      </c>
      <c r="B63" s="394"/>
      <c r="C63" s="390"/>
      <c r="D63" s="390"/>
      <c r="E63" s="390"/>
      <c r="F63" s="390"/>
      <c r="G63" s="390"/>
      <c r="H63" s="390"/>
      <c r="I63" s="390"/>
      <c r="J63" s="390"/>
      <c r="K63" s="390"/>
      <c r="L63" s="390"/>
      <c r="M63" s="389"/>
      <c r="N63" s="389"/>
    </row>
    <row r="64" spans="1:14" ht="20.100000000000001" customHeight="1">
      <c r="A64" s="393">
        <v>3</v>
      </c>
      <c r="B64" s="394"/>
      <c r="C64" s="390"/>
      <c r="D64" s="390"/>
      <c r="E64" s="390"/>
      <c r="F64" s="390"/>
      <c r="G64" s="390"/>
      <c r="H64" s="390"/>
      <c r="I64" s="390"/>
      <c r="J64" s="390"/>
      <c r="K64" s="390"/>
      <c r="L64" s="390"/>
      <c r="M64" s="389"/>
      <c r="N64" s="389"/>
    </row>
    <row r="65" spans="1:14" ht="20.100000000000001" customHeight="1">
      <c r="A65" s="393">
        <v>4</v>
      </c>
      <c r="B65" s="394"/>
      <c r="C65" s="390"/>
      <c r="D65" s="390"/>
      <c r="E65" s="390"/>
      <c r="F65" s="390"/>
      <c r="G65" s="390"/>
      <c r="H65" s="390"/>
      <c r="I65" s="390"/>
      <c r="J65" s="390"/>
      <c r="K65" s="390"/>
      <c r="L65" s="390"/>
      <c r="M65" s="389"/>
      <c r="N65" s="389"/>
    </row>
    <row r="66" spans="1:14" ht="20.100000000000001" customHeight="1">
      <c r="A66" s="393">
        <v>5</v>
      </c>
      <c r="B66" s="394"/>
      <c r="C66" s="390"/>
      <c r="D66" s="390"/>
      <c r="E66" s="390"/>
      <c r="F66" s="390"/>
      <c r="G66" s="390"/>
      <c r="H66" s="390"/>
      <c r="I66" s="390"/>
      <c r="J66" s="390"/>
      <c r="K66" s="390"/>
      <c r="L66" s="390"/>
      <c r="M66" s="389"/>
      <c r="N66" s="389"/>
    </row>
    <row r="67" spans="1:14" ht="20.100000000000001" customHeight="1">
      <c r="A67" s="393">
        <v>6</v>
      </c>
      <c r="B67" s="394"/>
      <c r="C67" s="390"/>
      <c r="D67" s="390"/>
      <c r="E67" s="390"/>
      <c r="F67" s="390"/>
      <c r="G67" s="390"/>
      <c r="H67" s="390"/>
      <c r="I67" s="390"/>
      <c r="J67" s="390"/>
      <c r="K67" s="390"/>
      <c r="L67" s="390"/>
      <c r="M67" s="389"/>
      <c r="N67" s="389"/>
    </row>
    <row r="68" spans="1:14" ht="20.100000000000001" customHeight="1">
      <c r="A68" s="393">
        <v>7</v>
      </c>
      <c r="B68" s="394"/>
      <c r="C68" s="390"/>
      <c r="D68" s="390"/>
      <c r="E68" s="390"/>
      <c r="F68" s="390"/>
      <c r="G68" s="390"/>
      <c r="H68" s="390"/>
      <c r="I68" s="390"/>
      <c r="J68" s="390"/>
      <c r="K68" s="390"/>
      <c r="L68" s="390"/>
      <c r="M68" s="389"/>
      <c r="N68" s="389"/>
    </row>
    <row r="69" spans="1:14" ht="20.100000000000001" customHeight="1">
      <c r="A69" s="393">
        <v>8</v>
      </c>
      <c r="B69" s="394"/>
      <c r="C69" s="390"/>
      <c r="D69" s="390"/>
      <c r="E69" s="390"/>
      <c r="F69" s="390"/>
      <c r="G69" s="390"/>
      <c r="H69" s="390"/>
      <c r="I69" s="390"/>
      <c r="J69" s="390"/>
      <c r="K69" s="390"/>
      <c r="L69" s="390"/>
      <c r="M69" s="389"/>
      <c r="N69" s="389"/>
    </row>
    <row r="70" spans="1:14" ht="20.100000000000001" customHeight="1">
      <c r="A70" s="393">
        <v>9</v>
      </c>
      <c r="B70" s="394"/>
      <c r="C70" s="390"/>
      <c r="D70" s="390"/>
      <c r="E70" s="390"/>
      <c r="F70" s="390"/>
      <c r="G70" s="390"/>
      <c r="H70" s="390"/>
      <c r="I70" s="390"/>
      <c r="J70" s="390"/>
      <c r="K70" s="390"/>
      <c r="L70" s="390"/>
      <c r="M70" s="389"/>
      <c r="N70" s="389"/>
    </row>
    <row r="71" spans="1:14" ht="20.100000000000001" customHeight="1">
      <c r="A71" s="393">
        <v>10</v>
      </c>
      <c r="B71" s="394"/>
      <c r="C71" s="390"/>
      <c r="D71" s="390"/>
      <c r="E71" s="390"/>
      <c r="F71" s="390"/>
      <c r="G71" s="390"/>
      <c r="H71" s="390"/>
      <c r="I71" s="390"/>
      <c r="J71" s="390"/>
      <c r="K71" s="390"/>
      <c r="L71" s="390"/>
      <c r="M71" s="389"/>
      <c r="N71" s="389"/>
    </row>
    <row r="72" spans="1:14" ht="20.100000000000001" customHeight="1">
      <c r="A72" s="393">
        <v>11</v>
      </c>
      <c r="B72" s="394"/>
      <c r="C72" s="390"/>
      <c r="D72" s="390"/>
      <c r="E72" s="390"/>
      <c r="F72" s="390"/>
      <c r="G72" s="390"/>
      <c r="H72" s="390"/>
      <c r="I72" s="390"/>
      <c r="J72" s="390"/>
      <c r="K72" s="390"/>
      <c r="L72" s="390"/>
      <c r="M72" s="389"/>
      <c r="N72" s="389"/>
    </row>
    <row r="73" spans="1:14" ht="20.100000000000001" customHeight="1">
      <c r="A73" s="393">
        <v>12</v>
      </c>
      <c r="B73" s="394"/>
      <c r="C73" s="390"/>
      <c r="D73" s="390"/>
      <c r="E73" s="390"/>
      <c r="F73" s="390"/>
      <c r="G73" s="390"/>
      <c r="H73" s="390"/>
      <c r="I73" s="390"/>
      <c r="J73" s="390"/>
      <c r="K73" s="390"/>
      <c r="L73" s="390"/>
      <c r="M73" s="389"/>
      <c r="N73" s="389"/>
    </row>
    <row r="74" spans="1:14" ht="20.100000000000001" customHeight="1">
      <c r="A74" s="393">
        <v>13</v>
      </c>
      <c r="B74" s="394"/>
      <c r="C74" s="390"/>
      <c r="D74" s="390"/>
      <c r="E74" s="390"/>
      <c r="F74" s="390"/>
      <c r="G74" s="390"/>
      <c r="H74" s="390"/>
      <c r="I74" s="390"/>
      <c r="J74" s="390"/>
      <c r="K74" s="390"/>
      <c r="L74" s="390"/>
      <c r="M74" s="389"/>
      <c r="N74" s="389"/>
    </row>
    <row r="75" spans="1:14" ht="20.100000000000001" customHeight="1">
      <c r="A75" s="393">
        <v>14</v>
      </c>
      <c r="B75" s="394"/>
      <c r="C75" s="390"/>
      <c r="D75" s="390"/>
      <c r="E75" s="390"/>
      <c r="F75" s="390"/>
      <c r="G75" s="390"/>
      <c r="H75" s="390"/>
      <c r="I75" s="390"/>
      <c r="J75" s="390"/>
      <c r="K75" s="390"/>
      <c r="L75" s="390"/>
      <c r="M75" s="389"/>
      <c r="N75" s="389"/>
    </row>
    <row r="76" spans="1:14" ht="20.100000000000001" customHeight="1">
      <c r="A76" s="393">
        <v>15</v>
      </c>
      <c r="B76" s="394"/>
      <c r="C76" s="390"/>
      <c r="D76" s="390"/>
      <c r="E76" s="390"/>
      <c r="F76" s="390"/>
      <c r="G76" s="390"/>
      <c r="H76" s="390"/>
      <c r="I76" s="390"/>
      <c r="J76" s="390"/>
      <c r="K76" s="390"/>
      <c r="L76" s="390"/>
      <c r="M76" s="389"/>
      <c r="N76" s="389"/>
    </row>
    <row r="77" spans="1:14" ht="20.100000000000001" customHeight="1">
      <c r="A77" s="393">
        <v>16</v>
      </c>
      <c r="B77" s="394"/>
      <c r="C77" s="390"/>
      <c r="D77" s="390"/>
      <c r="E77" s="390"/>
      <c r="F77" s="390"/>
      <c r="G77" s="390"/>
      <c r="H77" s="390"/>
      <c r="I77" s="390"/>
      <c r="J77" s="390"/>
      <c r="K77" s="390"/>
      <c r="L77" s="390"/>
      <c r="M77" s="389"/>
      <c r="N77" s="389"/>
    </row>
    <row r="78" spans="1:14" ht="20.100000000000001" customHeight="1">
      <c r="A78" s="393">
        <v>17</v>
      </c>
      <c r="B78" s="394"/>
      <c r="C78" s="390"/>
      <c r="D78" s="390"/>
      <c r="E78" s="390"/>
      <c r="F78" s="390"/>
      <c r="G78" s="390"/>
      <c r="H78" s="390"/>
      <c r="I78" s="390"/>
      <c r="J78" s="390"/>
      <c r="K78" s="390"/>
      <c r="L78" s="390"/>
      <c r="M78" s="389"/>
      <c r="N78" s="389"/>
    </row>
    <row r="79" spans="1:14" ht="20.100000000000001" customHeight="1">
      <c r="A79" s="393">
        <v>18</v>
      </c>
      <c r="B79" s="394"/>
      <c r="C79" s="390"/>
      <c r="D79" s="390"/>
      <c r="E79" s="390"/>
      <c r="F79" s="390"/>
      <c r="G79" s="390"/>
      <c r="H79" s="390"/>
      <c r="I79" s="390"/>
      <c r="J79" s="390"/>
      <c r="K79" s="390"/>
      <c r="L79" s="390"/>
      <c r="M79" s="389"/>
      <c r="N79" s="389"/>
    </row>
    <row r="80" spans="1:14" ht="20.100000000000001" customHeight="1">
      <c r="A80" s="393">
        <v>19</v>
      </c>
      <c r="B80" s="394"/>
      <c r="C80" s="390"/>
      <c r="D80" s="390"/>
      <c r="E80" s="390"/>
      <c r="F80" s="390"/>
      <c r="G80" s="390"/>
      <c r="H80" s="390"/>
      <c r="I80" s="390"/>
      <c r="J80" s="390"/>
      <c r="K80" s="390"/>
      <c r="L80" s="390"/>
      <c r="M80" s="389"/>
      <c r="N80" s="389"/>
    </row>
    <row r="81" spans="1:14" ht="20.100000000000001" customHeight="1">
      <c r="A81" s="393">
        <v>20</v>
      </c>
      <c r="B81" s="394"/>
      <c r="C81" s="390"/>
      <c r="D81" s="390"/>
      <c r="E81" s="390"/>
      <c r="F81" s="390"/>
      <c r="G81" s="390"/>
      <c r="H81" s="390"/>
      <c r="I81" s="390"/>
      <c r="J81" s="390"/>
      <c r="K81" s="390"/>
      <c r="L81" s="390"/>
      <c r="M81" s="389"/>
      <c r="N81" s="389"/>
    </row>
    <row r="82" spans="1:14" ht="20.100000000000001" customHeight="1" thickBot="1">
      <c r="A82" s="398" t="s">
        <v>97</v>
      </c>
      <c r="B82" s="396"/>
      <c r="C82" s="385"/>
      <c r="D82" s="385"/>
      <c r="E82" s="385"/>
      <c r="F82" s="385"/>
      <c r="G82" s="385"/>
      <c r="H82" s="385"/>
      <c r="I82" s="385"/>
      <c r="J82" s="385"/>
      <c r="K82" s="385"/>
      <c r="L82" s="385"/>
      <c r="M82" s="387"/>
      <c r="N82" s="387"/>
    </row>
    <row r="83" spans="1:14" ht="20.100000000000001" customHeight="1" thickBot="1">
      <c r="A83" s="384" t="s">
        <v>0</v>
      </c>
      <c r="B83" s="391"/>
      <c r="C83" s="388"/>
      <c r="D83" s="386"/>
      <c r="E83" s="386"/>
      <c r="F83" s="386"/>
      <c r="G83" s="388"/>
      <c r="H83" s="388"/>
      <c r="I83" s="388"/>
      <c r="J83" s="388"/>
      <c r="K83" s="388"/>
      <c r="L83" s="388"/>
      <c r="M83" s="388"/>
      <c r="N83" s="388"/>
    </row>
    <row r="84" spans="1:14">
      <c r="A84" s="378" t="s">
        <v>336</v>
      </c>
      <c r="B84" s="379"/>
      <c r="C84" s="379"/>
      <c r="D84" s="379"/>
      <c r="E84" s="379"/>
      <c r="F84" s="379"/>
      <c r="G84" s="379"/>
      <c r="H84" s="379"/>
      <c r="I84" s="379"/>
      <c r="J84" s="379"/>
      <c r="K84" s="379"/>
      <c r="L84" s="379"/>
    </row>
    <row r="85" spans="1:14">
      <c r="A85" s="383"/>
      <c r="B85" s="383"/>
    </row>
  </sheetData>
  <printOptions horizontalCentered="1"/>
  <pageMargins left="0.23622047244094491" right="0.23622047244094491" top="0.74803149606299213" bottom="0.74803149606299213" header="0.31496062992125984" footer="0.31496062992125984"/>
  <pageSetup paperSize="9" scale="55" orientation="landscape" r:id="rId1"/>
  <headerFooter alignWithMargins="0">
    <oddHeader xml:space="preserve">&amp;C&amp;"Arial,Negrita"&amp;18PROYECTO DE PRESUPUESTO 2021
</oddHeader>
    <oddFooter>&amp;L&amp;"Arial,Negrita"&amp;8PROYECTO DE PRESUPUESTO PARA EL AÑO FISCAL 2020
INFORMACIÓN PARA LA COMISIÓN DE PRESUPUESTO Y CUENTA GENERAL DE LA REPÚBLICA DEL CONGRESO DE LA REPÚBLICA</oddFooter>
  </headerFooter>
  <rowBreaks count="2" manualBreakCount="2">
    <brk id="26" max="13" man="1"/>
    <brk id="57" max="1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30">
    <tabColor theme="8" tint="-0.249977111117893"/>
  </sheetPr>
  <dimension ref="A1:Z359"/>
  <sheetViews>
    <sheetView showGridLines="0" view="pageBreakPreview" topLeftCell="A268" zoomScale="90" zoomScaleNormal="100" zoomScaleSheetLayoutView="90" workbookViewId="0">
      <selection sqref="A1:XFD4"/>
    </sheetView>
  </sheetViews>
  <sheetFormatPr baseColWidth="10" defaultColWidth="11.42578125" defaultRowHeight="11.25"/>
  <cols>
    <col min="1" max="1" width="43.85546875" style="412" customWidth="1"/>
    <col min="2" max="2" width="20.28515625" style="412" customWidth="1"/>
    <col min="3" max="3" width="18.7109375" style="412" customWidth="1"/>
    <col min="4" max="4" width="17.7109375" style="412" customWidth="1"/>
    <col min="5" max="5" width="15.42578125" style="412" customWidth="1"/>
    <col min="6" max="6" width="12.85546875" style="412" customWidth="1"/>
    <col min="7" max="7" width="33.28515625" style="412" customWidth="1"/>
    <col min="8" max="8" width="16.28515625" style="412" customWidth="1"/>
    <col min="9" max="9" width="14.5703125" style="412" customWidth="1"/>
    <col min="10" max="10" width="12" style="412" customWidth="1"/>
    <col min="11" max="11" width="22.28515625" style="412" customWidth="1"/>
    <col min="12" max="16384" width="11.42578125" style="412"/>
  </cols>
  <sheetData>
    <row r="1" spans="1:26" s="408" customFormat="1" ht="15.75" customHeight="1">
      <c r="A1" s="599" t="s">
        <v>409</v>
      </c>
      <c r="B1" s="407"/>
      <c r="C1" s="407"/>
      <c r="D1" s="407"/>
      <c r="E1" s="407"/>
      <c r="F1" s="407"/>
      <c r="G1" s="407"/>
      <c r="H1" s="407"/>
      <c r="I1" s="407"/>
      <c r="J1" s="407"/>
      <c r="K1" s="407"/>
    </row>
    <row r="2" spans="1:26" s="408" customFormat="1" ht="12">
      <c r="A2" s="599" t="s">
        <v>746</v>
      </c>
      <c r="B2" s="407"/>
      <c r="C2" s="407"/>
      <c r="D2" s="407"/>
      <c r="E2" s="407"/>
      <c r="F2" s="407"/>
      <c r="G2" s="407"/>
      <c r="H2" s="407"/>
      <c r="I2" s="407"/>
      <c r="J2" s="407"/>
      <c r="K2" s="407"/>
      <c r="L2" s="407"/>
      <c r="M2" s="407"/>
      <c r="N2" s="407"/>
      <c r="O2" s="407"/>
      <c r="P2" s="407"/>
      <c r="Q2" s="407"/>
      <c r="R2" s="407"/>
      <c r="S2" s="407"/>
      <c r="T2" s="407"/>
      <c r="U2" s="407"/>
      <c r="V2" s="407"/>
      <c r="W2" s="407"/>
      <c r="X2" s="407"/>
      <c r="Y2" s="407"/>
      <c r="Z2" s="407"/>
    </row>
    <row r="3" spans="1:26" ht="14.25" customHeight="1" thickBot="1">
      <c r="A3" s="409"/>
      <c r="B3" s="409"/>
      <c r="C3" s="409"/>
      <c r="D3" s="410"/>
      <c r="E3" s="410"/>
      <c r="F3" s="410"/>
      <c r="G3" s="410"/>
      <c r="H3" s="411"/>
    </row>
    <row r="4" spans="1:26" ht="48.75" customHeight="1" thickBot="1">
      <c r="A4" s="413" t="s">
        <v>88</v>
      </c>
      <c r="B4" s="881" t="s">
        <v>87</v>
      </c>
      <c r="C4" s="881" t="s">
        <v>198</v>
      </c>
      <c r="D4" s="414" t="s">
        <v>199</v>
      </c>
      <c r="E4" s="414" t="s">
        <v>2</v>
      </c>
      <c r="F4" s="1113"/>
      <c r="G4" s="414" t="s">
        <v>197</v>
      </c>
      <c r="H4" s="881" t="s">
        <v>90</v>
      </c>
      <c r="I4" s="414" t="s">
        <v>159</v>
      </c>
      <c r="J4" s="414" t="s">
        <v>164</v>
      </c>
      <c r="K4" s="414" t="s">
        <v>89</v>
      </c>
    </row>
    <row r="5" spans="1:26" ht="18" customHeight="1">
      <c r="A5" s="1039" t="s">
        <v>3197</v>
      </c>
      <c r="B5" s="976"/>
      <c r="C5" s="976"/>
      <c r="D5" s="976"/>
      <c r="E5" s="976"/>
      <c r="F5" s="976"/>
      <c r="G5" s="976"/>
      <c r="H5" s="976"/>
      <c r="I5" s="976"/>
      <c r="J5" s="976"/>
      <c r="K5" s="977"/>
    </row>
    <row r="6" spans="1:26" ht="18" customHeight="1">
      <c r="A6" s="1144" t="s">
        <v>4584</v>
      </c>
      <c r="B6" s="974"/>
      <c r="C6" s="974"/>
      <c r="D6" s="974"/>
      <c r="E6" s="974"/>
      <c r="F6" s="974"/>
      <c r="G6" s="974"/>
      <c r="H6" s="974"/>
      <c r="I6" s="974"/>
      <c r="J6" s="974"/>
      <c r="K6" s="975"/>
    </row>
    <row r="7" spans="1:26" s="952" customFormat="1" ht="18" customHeight="1">
      <c r="A7" s="1034" t="s">
        <v>4673</v>
      </c>
      <c r="B7" s="965"/>
      <c r="C7" s="965"/>
      <c r="D7" s="965"/>
      <c r="E7" s="1096">
        <f>SUM(E8:E95)</f>
        <v>24438961.680000003</v>
      </c>
      <c r="F7" s="1096"/>
      <c r="G7" s="965"/>
      <c r="H7" s="965"/>
      <c r="I7" s="965"/>
      <c r="J7" s="965"/>
      <c r="K7" s="986"/>
    </row>
    <row r="8" spans="1:26" s="952" customFormat="1" ht="36">
      <c r="A8" s="953" t="s">
        <v>4248</v>
      </c>
      <c r="B8" s="954" t="s">
        <v>707</v>
      </c>
      <c r="C8" s="955" t="s">
        <v>4249</v>
      </c>
      <c r="D8" s="955" t="s">
        <v>4250</v>
      </c>
      <c r="E8" s="956">
        <f>408000+438998</f>
        <v>846998</v>
      </c>
      <c r="F8" s="1118" t="s">
        <v>4819</v>
      </c>
      <c r="G8" s="1114" t="s">
        <v>4251</v>
      </c>
      <c r="H8" s="955" t="s">
        <v>4252</v>
      </c>
      <c r="I8" s="989">
        <v>43529</v>
      </c>
      <c r="J8" s="957">
        <v>44038</v>
      </c>
      <c r="K8" s="958" t="s">
        <v>782</v>
      </c>
    </row>
    <row r="9" spans="1:26" s="952" customFormat="1" ht="72">
      <c r="A9" s="953" t="s">
        <v>4253</v>
      </c>
      <c r="B9" s="954" t="s">
        <v>716</v>
      </c>
      <c r="C9" s="955" t="s">
        <v>4249</v>
      </c>
      <c r="D9" s="955" t="s">
        <v>4254</v>
      </c>
      <c r="E9" s="956">
        <f>85100+91052+95626</f>
        <v>271778</v>
      </c>
      <c r="F9" s="1118" t="s">
        <v>4820</v>
      </c>
      <c r="G9" s="1114" t="s">
        <v>4255</v>
      </c>
      <c r="H9" s="955" t="s">
        <v>4252</v>
      </c>
      <c r="I9" s="957">
        <v>43803</v>
      </c>
      <c r="J9" s="957">
        <v>43837</v>
      </c>
      <c r="K9" s="958" t="s">
        <v>782</v>
      </c>
    </row>
    <row r="10" spans="1:26" s="952" customFormat="1" ht="48">
      <c r="A10" s="953" t="s">
        <v>4256</v>
      </c>
      <c r="B10" s="954" t="s">
        <v>716</v>
      </c>
      <c r="C10" s="955" t="s">
        <v>4249</v>
      </c>
      <c r="D10" s="955" t="s">
        <v>4257</v>
      </c>
      <c r="E10" s="956">
        <v>94000</v>
      </c>
      <c r="F10" s="1118">
        <v>20493147791</v>
      </c>
      <c r="G10" s="1114" t="s">
        <v>4258</v>
      </c>
      <c r="H10" s="955" t="s">
        <v>4252</v>
      </c>
      <c r="I10" s="957">
        <v>43745</v>
      </c>
      <c r="J10" s="957">
        <f>+I10+120</f>
        <v>43865</v>
      </c>
      <c r="K10" s="958" t="s">
        <v>782</v>
      </c>
    </row>
    <row r="11" spans="1:26" s="952" customFormat="1" ht="36">
      <c r="A11" s="953" t="s">
        <v>4259</v>
      </c>
      <c r="B11" s="954" t="s">
        <v>716</v>
      </c>
      <c r="C11" s="955" t="s">
        <v>4249</v>
      </c>
      <c r="D11" s="955" t="s">
        <v>4260</v>
      </c>
      <c r="E11" s="956">
        <v>1850000</v>
      </c>
      <c r="F11" s="1118">
        <v>20471652963</v>
      </c>
      <c r="G11" s="1114" t="s">
        <v>4261</v>
      </c>
      <c r="H11" s="955" t="s">
        <v>4252</v>
      </c>
      <c r="I11" s="957">
        <v>43608</v>
      </c>
      <c r="J11" s="957">
        <f>157+I11</f>
        <v>43765</v>
      </c>
      <c r="K11" s="958" t="s">
        <v>782</v>
      </c>
    </row>
    <row r="12" spans="1:26" s="952" customFormat="1" ht="36">
      <c r="A12" s="953" t="s">
        <v>4262</v>
      </c>
      <c r="B12" s="954" t="s">
        <v>716</v>
      </c>
      <c r="C12" s="955" t="s">
        <v>4249</v>
      </c>
      <c r="D12" s="955" t="s">
        <v>4263</v>
      </c>
      <c r="E12" s="956">
        <v>81330</v>
      </c>
      <c r="F12" s="1118">
        <v>20117354793</v>
      </c>
      <c r="G12" s="1114" t="s">
        <v>4264</v>
      </c>
      <c r="H12" s="955" t="s">
        <v>4252</v>
      </c>
      <c r="I12" s="957">
        <v>43546</v>
      </c>
      <c r="J12" s="957">
        <v>43826</v>
      </c>
      <c r="K12" s="958" t="s">
        <v>782</v>
      </c>
    </row>
    <row r="13" spans="1:26" s="952" customFormat="1" ht="24">
      <c r="A13" s="953" t="s">
        <v>4265</v>
      </c>
      <c r="B13" s="954" t="s">
        <v>716</v>
      </c>
      <c r="C13" s="955" t="s">
        <v>4249</v>
      </c>
      <c r="D13" s="955" t="s">
        <v>4266</v>
      </c>
      <c r="E13" s="956">
        <v>56736</v>
      </c>
      <c r="F13" s="1118">
        <v>20535614548</v>
      </c>
      <c r="G13" s="1114" t="s">
        <v>4267</v>
      </c>
      <c r="H13" s="955" t="s">
        <v>4252</v>
      </c>
      <c r="I13" s="957">
        <v>43657</v>
      </c>
      <c r="J13" s="957">
        <v>44195</v>
      </c>
      <c r="K13" s="958" t="s">
        <v>782</v>
      </c>
    </row>
    <row r="14" spans="1:26" s="952" customFormat="1" ht="36">
      <c r="A14" s="953" t="s">
        <v>4268</v>
      </c>
      <c r="B14" s="954" t="s">
        <v>4269</v>
      </c>
      <c r="C14" s="955" t="s">
        <v>4249</v>
      </c>
      <c r="D14" s="955" t="s">
        <v>4270</v>
      </c>
      <c r="E14" s="956">
        <f>2150000+283203.98</f>
        <v>2433203.98</v>
      </c>
      <c r="F14" s="1118" t="s">
        <v>4821</v>
      </c>
      <c r="G14" s="1114" t="s">
        <v>4271</v>
      </c>
      <c r="H14" s="955" t="s">
        <v>4252</v>
      </c>
      <c r="I14" s="957">
        <v>43586</v>
      </c>
      <c r="J14" s="957">
        <v>43951</v>
      </c>
      <c r="K14" s="958" t="s">
        <v>782</v>
      </c>
    </row>
    <row r="15" spans="1:26" s="952" customFormat="1" ht="24">
      <c r="A15" s="953" t="s">
        <v>4272</v>
      </c>
      <c r="B15" s="954" t="s">
        <v>4269</v>
      </c>
      <c r="C15" s="955" t="s">
        <v>4249</v>
      </c>
      <c r="D15" s="955" t="s">
        <v>4273</v>
      </c>
      <c r="E15" s="956">
        <v>396793.5</v>
      </c>
      <c r="F15" s="1118">
        <v>20100686814</v>
      </c>
      <c r="G15" s="1114" t="s">
        <v>4274</v>
      </c>
      <c r="H15" s="955" t="s">
        <v>4252</v>
      </c>
      <c r="I15" s="957">
        <v>43628</v>
      </c>
      <c r="J15" s="957">
        <v>44358</v>
      </c>
      <c r="K15" s="958" t="s">
        <v>782</v>
      </c>
    </row>
    <row r="16" spans="1:26" s="952" customFormat="1" ht="36">
      <c r="A16" s="959" t="s">
        <v>4275</v>
      </c>
      <c r="B16" s="960" t="s">
        <v>4276</v>
      </c>
      <c r="C16" s="955" t="s">
        <v>4249</v>
      </c>
      <c r="D16" s="955" t="s">
        <v>4277</v>
      </c>
      <c r="E16" s="961">
        <v>164020.14000000001</v>
      </c>
      <c r="F16" s="1119" t="s">
        <v>4822</v>
      </c>
      <c r="G16" s="1114" t="s">
        <v>4278</v>
      </c>
      <c r="H16" s="955" t="s">
        <v>4252</v>
      </c>
      <c r="I16" s="957">
        <v>43529</v>
      </c>
      <c r="J16" s="957">
        <v>43529</v>
      </c>
      <c r="K16" s="958" t="s">
        <v>782</v>
      </c>
    </row>
    <row r="17" spans="1:11" s="952" customFormat="1" ht="36">
      <c r="A17" s="959" t="s">
        <v>4279</v>
      </c>
      <c r="B17" s="960" t="s">
        <v>4276</v>
      </c>
      <c r="C17" s="955" t="s">
        <v>4249</v>
      </c>
      <c r="D17" s="955" t="s">
        <v>4280</v>
      </c>
      <c r="E17" s="961">
        <v>170264.28</v>
      </c>
      <c r="F17" s="1119" t="s">
        <v>4823</v>
      </c>
      <c r="G17" s="1114" t="s">
        <v>4281</v>
      </c>
      <c r="H17" s="955" t="s">
        <v>4252</v>
      </c>
      <c r="I17" s="957">
        <v>43529</v>
      </c>
      <c r="J17" s="957">
        <v>43529</v>
      </c>
      <c r="K17" s="958" t="s">
        <v>782</v>
      </c>
    </row>
    <row r="18" spans="1:11" s="952" customFormat="1" ht="48">
      <c r="A18" s="953" t="s">
        <v>4282</v>
      </c>
      <c r="B18" s="954" t="s">
        <v>4276</v>
      </c>
      <c r="C18" s="955" t="s">
        <v>4249</v>
      </c>
      <c r="D18" s="955" t="s">
        <v>4283</v>
      </c>
      <c r="E18" s="956">
        <v>52723.86</v>
      </c>
      <c r="F18" s="1118" t="s">
        <v>4824</v>
      </c>
      <c r="G18" s="1114" t="s">
        <v>4284</v>
      </c>
      <c r="H18" s="955" t="s">
        <v>4252</v>
      </c>
      <c r="I18" s="962">
        <v>43527</v>
      </c>
      <c r="J18" s="957">
        <v>43529</v>
      </c>
      <c r="K18" s="958" t="s">
        <v>782</v>
      </c>
    </row>
    <row r="19" spans="1:11" s="952" customFormat="1" ht="84">
      <c r="A19" s="959" t="s">
        <v>4285</v>
      </c>
      <c r="B19" s="960" t="s">
        <v>4286</v>
      </c>
      <c r="C19" s="963" t="s">
        <v>4287</v>
      </c>
      <c r="D19" s="963" t="s">
        <v>4288</v>
      </c>
      <c r="E19" s="961">
        <f>20366.37+10090.17+4251.13+46997.42+6115.82+359.9+2714</f>
        <v>90894.81</v>
      </c>
      <c r="F19" s="1119" t="s">
        <v>4825</v>
      </c>
      <c r="G19" s="1115" t="s">
        <v>4289</v>
      </c>
      <c r="H19" s="955" t="s">
        <v>4252</v>
      </c>
      <c r="I19" s="962" t="s">
        <v>4290</v>
      </c>
      <c r="J19" s="962" t="s">
        <v>4291</v>
      </c>
      <c r="K19" s="958" t="s">
        <v>782</v>
      </c>
    </row>
    <row r="20" spans="1:11" s="952" customFormat="1" ht="72">
      <c r="A20" s="959" t="s">
        <v>4292</v>
      </c>
      <c r="B20" s="960" t="s">
        <v>4286</v>
      </c>
      <c r="C20" s="963" t="s">
        <v>4287</v>
      </c>
      <c r="D20" s="963" t="s">
        <v>4293</v>
      </c>
      <c r="E20" s="961">
        <f>174037.76+314.47+149779.73+130497.19+4702.02+108418.2</f>
        <v>567749.37</v>
      </c>
      <c r="F20" s="1119" t="s">
        <v>4826</v>
      </c>
      <c r="G20" s="1115" t="s">
        <v>4294</v>
      </c>
      <c r="H20" s="955" t="s">
        <v>4252</v>
      </c>
      <c r="I20" s="962" t="s">
        <v>4295</v>
      </c>
      <c r="J20" s="962" t="s">
        <v>4296</v>
      </c>
      <c r="K20" s="958" t="s">
        <v>782</v>
      </c>
    </row>
    <row r="21" spans="1:11" s="952" customFormat="1" ht="17.25" customHeight="1">
      <c r="A21" s="1144" t="s">
        <v>4584</v>
      </c>
      <c r="B21" s="960"/>
      <c r="C21" s="963"/>
      <c r="D21" s="963"/>
      <c r="E21" s="961"/>
      <c r="F21" s="1119"/>
      <c r="G21" s="1115"/>
      <c r="H21" s="955"/>
      <c r="I21" s="962"/>
      <c r="J21" s="962"/>
      <c r="K21" s="958"/>
    </row>
    <row r="22" spans="1:11" s="952" customFormat="1" ht="72">
      <c r="A22" s="953" t="s">
        <v>4297</v>
      </c>
      <c r="B22" s="954" t="s">
        <v>4276</v>
      </c>
      <c r="C22" s="955" t="s">
        <v>4249</v>
      </c>
      <c r="D22" s="958" t="s">
        <v>4298</v>
      </c>
      <c r="E22" s="956">
        <v>197926.5</v>
      </c>
      <c r="F22" s="1118" t="s">
        <v>4827</v>
      </c>
      <c r="G22" s="1114" t="s">
        <v>4299</v>
      </c>
      <c r="H22" s="958" t="s">
        <v>4252</v>
      </c>
      <c r="I22" s="962">
        <v>43514</v>
      </c>
      <c r="J22" s="962">
        <v>43537</v>
      </c>
      <c r="K22" s="958" t="s">
        <v>782</v>
      </c>
    </row>
    <row r="23" spans="1:11" s="952" customFormat="1" ht="24">
      <c r="A23" s="953" t="s">
        <v>4300</v>
      </c>
      <c r="B23" s="954" t="s">
        <v>716</v>
      </c>
      <c r="C23" s="955" t="s">
        <v>4249</v>
      </c>
      <c r="D23" s="958" t="s">
        <v>4301</v>
      </c>
      <c r="E23" s="956">
        <v>46416</v>
      </c>
      <c r="F23" s="1118">
        <v>20467534026</v>
      </c>
      <c r="G23" s="1114" t="s">
        <v>4302</v>
      </c>
      <c r="H23" s="958" t="s">
        <v>4252</v>
      </c>
      <c r="I23" s="962">
        <v>43550</v>
      </c>
      <c r="J23" s="962">
        <v>44316</v>
      </c>
      <c r="K23" s="958" t="s">
        <v>782</v>
      </c>
    </row>
    <row r="24" spans="1:11" s="952" customFormat="1" ht="24">
      <c r="A24" s="953" t="s">
        <v>4303</v>
      </c>
      <c r="B24" s="954" t="s">
        <v>4304</v>
      </c>
      <c r="C24" s="955" t="s">
        <v>4249</v>
      </c>
      <c r="D24" s="958" t="s">
        <v>4305</v>
      </c>
      <c r="E24" s="956">
        <v>50000</v>
      </c>
      <c r="F24" s="1118">
        <v>10075308294</v>
      </c>
      <c r="G24" s="1114" t="s">
        <v>4306</v>
      </c>
      <c r="H24" s="958" t="s">
        <v>4252</v>
      </c>
      <c r="I24" s="962">
        <v>43549</v>
      </c>
      <c r="J24" s="962">
        <v>43689</v>
      </c>
      <c r="K24" s="958" t="s">
        <v>782</v>
      </c>
    </row>
    <row r="25" spans="1:11" s="952" customFormat="1" ht="36">
      <c r="A25" s="953" t="s">
        <v>4307</v>
      </c>
      <c r="B25" s="954" t="s">
        <v>716</v>
      </c>
      <c r="C25" s="955" t="s">
        <v>4249</v>
      </c>
      <c r="D25" s="958" t="s">
        <v>4308</v>
      </c>
      <c r="E25" s="956">
        <v>117000</v>
      </c>
      <c r="F25" s="1118">
        <v>20486277069</v>
      </c>
      <c r="G25" s="1114" t="s">
        <v>4309</v>
      </c>
      <c r="H25" s="958" t="s">
        <v>4252</v>
      </c>
      <c r="I25" s="962">
        <v>43601</v>
      </c>
      <c r="J25" s="962">
        <v>43724</v>
      </c>
      <c r="K25" s="958" t="s">
        <v>782</v>
      </c>
    </row>
    <row r="26" spans="1:11" s="952" customFormat="1" ht="24">
      <c r="A26" s="953" t="s">
        <v>4310</v>
      </c>
      <c r="B26" s="954" t="s">
        <v>716</v>
      </c>
      <c r="C26" s="955" t="s">
        <v>4249</v>
      </c>
      <c r="D26" s="958" t="s">
        <v>4311</v>
      </c>
      <c r="E26" s="956">
        <v>119880.12</v>
      </c>
      <c r="F26" s="1118">
        <v>20524730554</v>
      </c>
      <c r="G26" s="1114" t="s">
        <v>4312</v>
      </c>
      <c r="H26" s="958" t="s">
        <v>4252</v>
      </c>
      <c r="I26" s="962">
        <v>43588</v>
      </c>
      <c r="J26" s="962">
        <f>+I26+95</f>
        <v>43683</v>
      </c>
      <c r="K26" s="958" t="s">
        <v>782</v>
      </c>
    </row>
    <row r="27" spans="1:11" s="952" customFormat="1" ht="24">
      <c r="A27" s="953" t="s">
        <v>4313</v>
      </c>
      <c r="B27" s="954" t="s">
        <v>716</v>
      </c>
      <c r="C27" s="955" t="s">
        <v>4249</v>
      </c>
      <c r="D27" s="958" t="s">
        <v>4314</v>
      </c>
      <c r="E27" s="956">
        <v>73820.800000000003</v>
      </c>
      <c r="F27" s="1118">
        <v>20509203050</v>
      </c>
      <c r="G27" s="1114" t="s">
        <v>4315</v>
      </c>
      <c r="H27" s="958" t="s">
        <v>4252</v>
      </c>
      <c r="I27" s="962">
        <v>43580</v>
      </c>
      <c r="J27" s="962">
        <f>+I27+130</f>
        <v>43710</v>
      </c>
      <c r="K27" s="958" t="s">
        <v>782</v>
      </c>
    </row>
    <row r="28" spans="1:11" s="952" customFormat="1" ht="36">
      <c r="A28" s="953" t="s">
        <v>4316</v>
      </c>
      <c r="B28" s="954" t="s">
        <v>716</v>
      </c>
      <c r="C28" s="955" t="s">
        <v>4249</v>
      </c>
      <c r="D28" s="958" t="s">
        <v>4317</v>
      </c>
      <c r="E28" s="956">
        <v>85000</v>
      </c>
      <c r="F28" s="1118">
        <v>20508520671</v>
      </c>
      <c r="G28" s="1114" t="s">
        <v>4318</v>
      </c>
      <c r="H28" s="958" t="s">
        <v>4252</v>
      </c>
      <c r="I28" s="962">
        <v>43704</v>
      </c>
      <c r="J28" s="962">
        <f>+I28+60</f>
        <v>43764</v>
      </c>
      <c r="K28" s="958" t="s">
        <v>782</v>
      </c>
    </row>
    <row r="29" spans="1:11" s="952" customFormat="1" ht="36">
      <c r="A29" s="953" t="s">
        <v>4319</v>
      </c>
      <c r="B29" s="954" t="s">
        <v>716</v>
      </c>
      <c r="C29" s="955" t="s">
        <v>4249</v>
      </c>
      <c r="D29" s="958" t="s">
        <v>4320</v>
      </c>
      <c r="E29" s="956">
        <v>126554.4</v>
      </c>
      <c r="F29" s="1118">
        <v>20507258981</v>
      </c>
      <c r="G29" s="1114" t="s">
        <v>4321</v>
      </c>
      <c r="H29" s="958" t="s">
        <v>4252</v>
      </c>
      <c r="I29" s="962">
        <v>43616</v>
      </c>
      <c r="J29" s="962">
        <v>43982</v>
      </c>
      <c r="K29" s="958" t="s">
        <v>782</v>
      </c>
    </row>
    <row r="30" spans="1:11" s="952" customFormat="1" ht="24">
      <c r="A30" s="953" t="s">
        <v>4322</v>
      </c>
      <c r="B30" s="954" t="s">
        <v>716</v>
      </c>
      <c r="C30" s="955" t="s">
        <v>4249</v>
      </c>
      <c r="D30" s="958" t="s">
        <v>4323</v>
      </c>
      <c r="E30" s="956">
        <v>203904</v>
      </c>
      <c r="F30" s="1118">
        <v>20467534026</v>
      </c>
      <c r="G30" s="1114" t="s">
        <v>4302</v>
      </c>
      <c r="H30" s="958" t="s">
        <v>4252</v>
      </c>
      <c r="I30" s="962">
        <v>43628</v>
      </c>
      <c r="J30" s="962">
        <v>44359</v>
      </c>
      <c r="K30" s="958" t="s">
        <v>782</v>
      </c>
    </row>
    <row r="31" spans="1:11" s="952" customFormat="1" ht="36">
      <c r="A31" s="953" t="s">
        <v>4324</v>
      </c>
      <c r="B31" s="954" t="s">
        <v>4304</v>
      </c>
      <c r="C31" s="955" t="s">
        <v>4249</v>
      </c>
      <c r="D31" s="958" t="s">
        <v>4325</v>
      </c>
      <c r="E31" s="956">
        <v>480000</v>
      </c>
      <c r="F31" s="1118">
        <v>20372475707</v>
      </c>
      <c r="G31" s="1114" t="s">
        <v>4326</v>
      </c>
      <c r="H31" s="958" t="s">
        <v>4252</v>
      </c>
      <c r="I31" s="962">
        <v>43596</v>
      </c>
      <c r="J31" s="958" t="s">
        <v>4327</v>
      </c>
      <c r="K31" s="958" t="s">
        <v>782</v>
      </c>
    </row>
    <row r="32" spans="1:11" s="952" customFormat="1" ht="36">
      <c r="A32" s="953" t="s">
        <v>4328</v>
      </c>
      <c r="B32" s="954" t="s">
        <v>716</v>
      </c>
      <c r="C32" s="955" t="s">
        <v>4249</v>
      </c>
      <c r="D32" s="958" t="s">
        <v>4329</v>
      </c>
      <c r="E32" s="956">
        <v>68990</v>
      </c>
      <c r="F32" s="1118">
        <v>20407806299</v>
      </c>
      <c r="G32" s="1114" t="s">
        <v>4330</v>
      </c>
      <c r="H32" s="958" t="s">
        <v>4252</v>
      </c>
      <c r="I32" s="962">
        <v>43703</v>
      </c>
      <c r="J32" s="962">
        <f>+I32+30</f>
        <v>43733</v>
      </c>
      <c r="K32" s="958" t="s">
        <v>782</v>
      </c>
    </row>
    <row r="33" spans="1:11" s="952" customFormat="1" ht="36">
      <c r="A33" s="953" t="s">
        <v>4331</v>
      </c>
      <c r="B33" s="954" t="s">
        <v>716</v>
      </c>
      <c r="C33" s="955" t="s">
        <v>4249</v>
      </c>
      <c r="D33" s="958" t="s">
        <v>4332</v>
      </c>
      <c r="E33" s="956">
        <v>389900</v>
      </c>
      <c r="F33" s="1118">
        <v>20545751811</v>
      </c>
      <c r="G33" s="1114" t="s">
        <v>4333</v>
      </c>
      <c r="H33" s="958" t="s">
        <v>4252</v>
      </c>
      <c r="I33" s="962">
        <v>43766</v>
      </c>
      <c r="J33" s="962">
        <f>+I33+45</f>
        <v>43811</v>
      </c>
      <c r="K33" s="958" t="s">
        <v>782</v>
      </c>
    </row>
    <row r="34" spans="1:11" s="952" customFormat="1" ht="24">
      <c r="A34" s="953" t="s">
        <v>4334</v>
      </c>
      <c r="B34" s="954" t="s">
        <v>716</v>
      </c>
      <c r="C34" s="955" t="s">
        <v>4249</v>
      </c>
      <c r="D34" s="958" t="s">
        <v>4335</v>
      </c>
      <c r="E34" s="956">
        <v>188450</v>
      </c>
      <c r="F34" s="1118">
        <v>20392711504</v>
      </c>
      <c r="G34" s="1114" t="s">
        <v>4336</v>
      </c>
      <c r="H34" s="958" t="s">
        <v>4252</v>
      </c>
      <c r="I34" s="962">
        <v>43682</v>
      </c>
      <c r="J34" s="962">
        <f>+I34+165</f>
        <v>43847</v>
      </c>
      <c r="K34" s="958" t="s">
        <v>782</v>
      </c>
    </row>
    <row r="35" spans="1:11" s="952" customFormat="1" ht="48">
      <c r="A35" s="953" t="s">
        <v>4337</v>
      </c>
      <c r="B35" s="954" t="s">
        <v>4269</v>
      </c>
      <c r="C35" s="955" t="s">
        <v>4249</v>
      </c>
      <c r="D35" s="958" t="s">
        <v>4338</v>
      </c>
      <c r="E35" s="956">
        <v>400000</v>
      </c>
      <c r="F35" s="1118">
        <v>20501666786</v>
      </c>
      <c r="G35" s="1114" t="s">
        <v>4339</v>
      </c>
      <c r="H35" s="958" t="s">
        <v>4252</v>
      </c>
      <c r="I35" s="962">
        <v>43679</v>
      </c>
      <c r="J35" s="962">
        <f>+I35+167</f>
        <v>43846</v>
      </c>
      <c r="K35" s="958" t="s">
        <v>782</v>
      </c>
    </row>
    <row r="36" spans="1:11" s="952" customFormat="1" ht="24">
      <c r="A36" s="959" t="s">
        <v>4340</v>
      </c>
      <c r="B36" s="960" t="s">
        <v>4286</v>
      </c>
      <c r="C36" s="963" t="s">
        <v>4287</v>
      </c>
      <c r="D36" s="958" t="s">
        <v>4341</v>
      </c>
      <c r="E36" s="961">
        <v>43177.760000000002</v>
      </c>
      <c r="F36" s="1119">
        <v>20523806182</v>
      </c>
      <c r="G36" s="1115" t="s">
        <v>4342</v>
      </c>
      <c r="H36" s="958" t="s">
        <v>4252</v>
      </c>
      <c r="I36" s="962">
        <v>43742</v>
      </c>
      <c r="J36" s="962">
        <v>43840</v>
      </c>
      <c r="K36" s="958" t="s">
        <v>782</v>
      </c>
    </row>
    <row r="37" spans="1:11" s="952" customFormat="1" ht="24">
      <c r="A37" s="959" t="s">
        <v>4343</v>
      </c>
      <c r="B37" s="960" t="s">
        <v>4286</v>
      </c>
      <c r="C37" s="963" t="s">
        <v>4287</v>
      </c>
      <c r="D37" s="958" t="s">
        <v>4344</v>
      </c>
      <c r="E37" s="961">
        <v>9158.34</v>
      </c>
      <c r="F37" s="1119">
        <v>20541190385</v>
      </c>
      <c r="G37" s="1115" t="s">
        <v>4345</v>
      </c>
      <c r="H37" s="958" t="s">
        <v>4252</v>
      </c>
      <c r="I37" s="962">
        <v>43728</v>
      </c>
      <c r="J37" s="962">
        <v>43774</v>
      </c>
      <c r="K37" s="958" t="s">
        <v>782</v>
      </c>
    </row>
    <row r="38" spans="1:11" s="952" customFormat="1" ht="36">
      <c r="A38" s="953" t="s">
        <v>4346</v>
      </c>
      <c r="B38" s="954" t="s">
        <v>4347</v>
      </c>
      <c r="C38" s="955" t="s">
        <v>4249</v>
      </c>
      <c r="D38" s="958" t="s">
        <v>4348</v>
      </c>
      <c r="E38" s="956">
        <v>49500</v>
      </c>
      <c r="F38" s="1118">
        <v>10100544046</v>
      </c>
      <c r="G38" s="1114" t="s">
        <v>4349</v>
      </c>
      <c r="H38" s="958" t="s">
        <v>4252</v>
      </c>
      <c r="I38" s="958" t="s">
        <v>4350</v>
      </c>
      <c r="J38" s="962">
        <v>43790</v>
      </c>
      <c r="K38" s="958" t="s">
        <v>782</v>
      </c>
    </row>
    <row r="39" spans="1:11" s="952" customFormat="1" ht="24">
      <c r="A39" s="953" t="s">
        <v>4351</v>
      </c>
      <c r="B39" s="954" t="s">
        <v>4304</v>
      </c>
      <c r="C39" s="955" t="s">
        <v>4249</v>
      </c>
      <c r="D39" s="958" t="s">
        <v>4352</v>
      </c>
      <c r="E39" s="956">
        <v>50000</v>
      </c>
      <c r="F39" s="1118">
        <v>20346525895</v>
      </c>
      <c r="G39" s="1114" t="s">
        <v>4353</v>
      </c>
      <c r="H39" s="958" t="s">
        <v>4252</v>
      </c>
      <c r="I39" s="962">
        <v>43781</v>
      </c>
      <c r="J39" s="962" t="s">
        <v>4327</v>
      </c>
      <c r="K39" s="958" t="s">
        <v>782</v>
      </c>
    </row>
    <row r="40" spans="1:11" s="952" customFormat="1" ht="19.5" customHeight="1">
      <c r="A40" s="1144" t="s">
        <v>4584</v>
      </c>
      <c r="B40" s="954"/>
      <c r="C40" s="955"/>
      <c r="D40" s="958"/>
      <c r="E40" s="956"/>
      <c r="F40" s="1118"/>
      <c r="G40" s="1114"/>
      <c r="H40" s="958"/>
      <c r="I40" s="962"/>
      <c r="J40" s="962"/>
      <c r="K40" s="958"/>
    </row>
    <row r="41" spans="1:11" s="952" customFormat="1" ht="96">
      <c r="A41" s="959" t="s">
        <v>4354</v>
      </c>
      <c r="B41" s="960" t="s">
        <v>716</v>
      </c>
      <c r="C41" s="955" t="s">
        <v>4249</v>
      </c>
      <c r="D41" s="958" t="s">
        <v>4355</v>
      </c>
      <c r="E41" s="961">
        <v>195000</v>
      </c>
      <c r="F41" s="1119">
        <v>20601013704</v>
      </c>
      <c r="G41" s="1114" t="s">
        <v>4356</v>
      </c>
      <c r="H41" s="958" t="s">
        <v>4252</v>
      </c>
      <c r="I41" s="962">
        <v>43715</v>
      </c>
      <c r="J41" s="962">
        <v>43849</v>
      </c>
      <c r="K41" s="958" t="s">
        <v>782</v>
      </c>
    </row>
    <row r="42" spans="1:11" s="952" customFormat="1" ht="84">
      <c r="A42" s="953" t="s">
        <v>4357</v>
      </c>
      <c r="B42" s="954" t="s">
        <v>4269</v>
      </c>
      <c r="C42" s="955" t="s">
        <v>4249</v>
      </c>
      <c r="D42" s="958" t="s">
        <v>4358</v>
      </c>
      <c r="E42" s="956">
        <f>299374+196443+429871+305784</f>
        <v>1231472</v>
      </c>
      <c r="F42" s="1118" t="s">
        <v>4828</v>
      </c>
      <c r="G42" s="1114"/>
      <c r="H42" s="958" t="s">
        <v>4252</v>
      </c>
      <c r="I42" s="964">
        <v>43727</v>
      </c>
      <c r="J42" s="962">
        <v>43848</v>
      </c>
      <c r="K42" s="958" t="s">
        <v>782</v>
      </c>
    </row>
    <row r="43" spans="1:11" s="952" customFormat="1" ht="36">
      <c r="A43" s="953" t="s">
        <v>4359</v>
      </c>
      <c r="B43" s="954" t="s">
        <v>716</v>
      </c>
      <c r="C43" s="955" t="s">
        <v>4249</v>
      </c>
      <c r="D43" s="958" t="s">
        <v>4360</v>
      </c>
      <c r="E43" s="956">
        <v>196120.38</v>
      </c>
      <c r="F43" s="1118">
        <v>20392535773</v>
      </c>
      <c r="G43" s="1114" t="s">
        <v>4361</v>
      </c>
      <c r="H43" s="958" t="s">
        <v>4252</v>
      </c>
      <c r="I43" s="962">
        <v>43778</v>
      </c>
      <c r="J43" s="962">
        <v>43784</v>
      </c>
      <c r="K43" s="958" t="s">
        <v>782</v>
      </c>
    </row>
    <row r="44" spans="1:11" s="952" customFormat="1" ht="36">
      <c r="A44" s="953" t="s">
        <v>4362</v>
      </c>
      <c r="B44" s="954" t="s">
        <v>716</v>
      </c>
      <c r="C44" s="955" t="s">
        <v>4249</v>
      </c>
      <c r="D44" s="958" t="s">
        <v>4363</v>
      </c>
      <c r="E44" s="956">
        <v>135000</v>
      </c>
      <c r="F44" s="1118">
        <v>20293090786</v>
      </c>
      <c r="G44" s="1114" t="s">
        <v>4364</v>
      </c>
      <c r="H44" s="958" t="s">
        <v>4252</v>
      </c>
      <c r="I44" s="962">
        <v>43778</v>
      </c>
      <c r="J44" s="962">
        <v>43784</v>
      </c>
      <c r="K44" s="958" t="s">
        <v>782</v>
      </c>
    </row>
    <row r="45" spans="1:11" s="952" customFormat="1" ht="24">
      <c r="A45" s="953" t="s">
        <v>4365</v>
      </c>
      <c r="B45" s="954" t="s">
        <v>716</v>
      </c>
      <c r="C45" s="955" t="s">
        <v>4249</v>
      </c>
      <c r="D45" s="958" t="s">
        <v>4366</v>
      </c>
      <c r="E45" s="956">
        <v>32492</v>
      </c>
      <c r="F45" s="1118">
        <v>20510638485</v>
      </c>
      <c r="G45" s="1114" t="s">
        <v>4367</v>
      </c>
      <c r="H45" s="958" t="s">
        <v>4252</v>
      </c>
      <c r="I45" s="962">
        <v>43738</v>
      </c>
      <c r="J45" s="962">
        <f>+I45+89</f>
        <v>43827</v>
      </c>
      <c r="K45" s="958" t="s">
        <v>782</v>
      </c>
    </row>
    <row r="46" spans="1:11" s="952" customFormat="1" ht="60">
      <c r="A46" s="953" t="s">
        <v>4368</v>
      </c>
      <c r="B46" s="954" t="s">
        <v>716</v>
      </c>
      <c r="C46" s="955" t="s">
        <v>4249</v>
      </c>
      <c r="D46" s="958" t="s">
        <v>4369</v>
      </c>
      <c r="E46" s="956">
        <v>120000</v>
      </c>
      <c r="F46" s="1118">
        <v>20354826799</v>
      </c>
      <c r="G46" s="1114" t="s">
        <v>4370</v>
      </c>
      <c r="H46" s="958" t="s">
        <v>4252</v>
      </c>
      <c r="I46" s="962">
        <v>43761</v>
      </c>
      <c r="J46" s="962">
        <f>+I46+90</f>
        <v>43851</v>
      </c>
      <c r="K46" s="958" t="s">
        <v>782</v>
      </c>
    </row>
    <row r="47" spans="1:11" s="952" customFormat="1" ht="48">
      <c r="A47" s="953" t="s">
        <v>4371</v>
      </c>
      <c r="B47" s="954" t="s">
        <v>716</v>
      </c>
      <c r="C47" s="955" t="s">
        <v>4249</v>
      </c>
      <c r="D47" s="958" t="s">
        <v>4372</v>
      </c>
      <c r="E47" s="956">
        <v>316317.24</v>
      </c>
      <c r="F47" s="1118">
        <v>20600500105</v>
      </c>
      <c r="G47" s="1114" t="s">
        <v>4373</v>
      </c>
      <c r="H47" s="958" t="s">
        <v>4252</v>
      </c>
      <c r="I47" s="962">
        <v>43732</v>
      </c>
      <c r="J47" s="962">
        <v>43864</v>
      </c>
      <c r="K47" s="958" t="s">
        <v>782</v>
      </c>
    </row>
    <row r="48" spans="1:11" s="952" customFormat="1" ht="24">
      <c r="A48" s="959" t="s">
        <v>4374</v>
      </c>
      <c r="B48" s="960" t="s">
        <v>4304</v>
      </c>
      <c r="C48" s="955" t="s">
        <v>4249</v>
      </c>
      <c r="D48" s="958" t="s">
        <v>4375</v>
      </c>
      <c r="E48" s="961">
        <v>89208</v>
      </c>
      <c r="F48" s="1119">
        <v>20107972090</v>
      </c>
      <c r="G48" s="1115" t="s">
        <v>4376</v>
      </c>
      <c r="H48" s="958" t="s">
        <v>4252</v>
      </c>
      <c r="I48" s="962">
        <v>43662</v>
      </c>
      <c r="J48" s="962">
        <v>43666</v>
      </c>
      <c r="K48" s="958" t="s">
        <v>782</v>
      </c>
    </row>
    <row r="49" spans="1:11" s="952" customFormat="1" ht="48">
      <c r="A49" s="953" t="s">
        <v>4377</v>
      </c>
      <c r="B49" s="954" t="s">
        <v>716</v>
      </c>
      <c r="C49" s="955" t="s">
        <v>4249</v>
      </c>
      <c r="D49" s="958" t="s">
        <v>4378</v>
      </c>
      <c r="E49" s="956">
        <v>278250</v>
      </c>
      <c r="F49" s="1118">
        <v>20501766811</v>
      </c>
      <c r="G49" s="1114" t="s">
        <v>4379</v>
      </c>
      <c r="H49" s="958" t="s">
        <v>4252</v>
      </c>
      <c r="I49" s="962">
        <v>43740</v>
      </c>
      <c r="J49" s="962">
        <v>44039</v>
      </c>
      <c r="K49" s="958" t="s">
        <v>782</v>
      </c>
    </row>
    <row r="50" spans="1:11" s="952" customFormat="1" ht="36">
      <c r="A50" s="953" t="s">
        <v>4380</v>
      </c>
      <c r="B50" s="954" t="s">
        <v>716</v>
      </c>
      <c r="C50" s="955" t="s">
        <v>4249</v>
      </c>
      <c r="D50" s="958" t="s">
        <v>4381</v>
      </c>
      <c r="E50" s="956">
        <v>75563.759999999995</v>
      </c>
      <c r="F50" s="1118">
        <v>20522173933</v>
      </c>
      <c r="G50" s="1114" t="s">
        <v>4382</v>
      </c>
      <c r="H50" s="958" t="s">
        <v>4252</v>
      </c>
      <c r="I50" s="962">
        <v>43869</v>
      </c>
      <c r="J50" s="962">
        <v>44234</v>
      </c>
      <c r="K50" s="958" t="s">
        <v>782</v>
      </c>
    </row>
    <row r="51" spans="1:11" s="952" customFormat="1" ht="48">
      <c r="A51" s="953" t="s">
        <v>4383</v>
      </c>
      <c r="B51" s="954" t="s">
        <v>4276</v>
      </c>
      <c r="C51" s="955" t="s">
        <v>4249</v>
      </c>
      <c r="D51" s="958" t="s">
        <v>4384</v>
      </c>
      <c r="E51" s="956">
        <v>104931</v>
      </c>
      <c r="F51" s="1118" t="s">
        <v>4829</v>
      </c>
      <c r="G51" s="1114" t="s">
        <v>4385</v>
      </c>
      <c r="H51" s="958" t="s">
        <v>4252</v>
      </c>
      <c r="I51" s="962">
        <v>43700</v>
      </c>
      <c r="J51" s="962">
        <f>+I51+180</f>
        <v>43880</v>
      </c>
      <c r="K51" s="958" t="s">
        <v>782</v>
      </c>
    </row>
    <row r="52" spans="1:11" s="952" customFormat="1" ht="36">
      <c r="A52" s="953" t="s">
        <v>4386</v>
      </c>
      <c r="B52" s="954" t="s">
        <v>716</v>
      </c>
      <c r="C52" s="955" t="s">
        <v>4249</v>
      </c>
      <c r="D52" s="958" t="s">
        <v>4387</v>
      </c>
      <c r="E52" s="956">
        <v>104680</v>
      </c>
      <c r="F52" s="1118">
        <v>20260496281</v>
      </c>
      <c r="G52" s="1114" t="s">
        <v>4388</v>
      </c>
      <c r="H52" s="958" t="s">
        <v>4252</v>
      </c>
      <c r="I52" s="962">
        <v>43796</v>
      </c>
      <c r="J52" s="962">
        <v>43856</v>
      </c>
      <c r="K52" s="958" t="s">
        <v>782</v>
      </c>
    </row>
    <row r="53" spans="1:11" s="952" customFormat="1" ht="48">
      <c r="A53" s="953" t="s">
        <v>4389</v>
      </c>
      <c r="B53" s="954" t="s">
        <v>716</v>
      </c>
      <c r="C53" s="955" t="s">
        <v>4249</v>
      </c>
      <c r="D53" s="958" t="s">
        <v>4390</v>
      </c>
      <c r="E53" s="956">
        <v>172200</v>
      </c>
      <c r="F53" s="1118">
        <v>20384122991</v>
      </c>
      <c r="G53" s="1114" t="s">
        <v>4391</v>
      </c>
      <c r="H53" s="958" t="s">
        <v>4252</v>
      </c>
      <c r="I53" s="962">
        <v>43752</v>
      </c>
      <c r="J53" s="962">
        <f>+I53+80</f>
        <v>43832</v>
      </c>
      <c r="K53" s="958" t="s">
        <v>782</v>
      </c>
    </row>
    <row r="54" spans="1:11" s="952" customFormat="1" ht="36">
      <c r="A54" s="953" t="s">
        <v>4392</v>
      </c>
      <c r="B54" s="954" t="s">
        <v>4304</v>
      </c>
      <c r="C54" s="955" t="s">
        <v>4249</v>
      </c>
      <c r="D54" s="958" t="s">
        <v>4393</v>
      </c>
      <c r="E54" s="956">
        <v>600000</v>
      </c>
      <c r="F54" s="1118">
        <v>20601450357</v>
      </c>
      <c r="G54" s="1114" t="s">
        <v>4394</v>
      </c>
      <c r="H54" s="958" t="s">
        <v>4252</v>
      </c>
      <c r="I54" s="962">
        <v>43759</v>
      </c>
      <c r="J54" s="962">
        <f>+I54+150</f>
        <v>43909</v>
      </c>
      <c r="K54" s="958" t="s">
        <v>782</v>
      </c>
    </row>
    <row r="55" spans="1:11" s="952" customFormat="1" ht="14.25" customHeight="1">
      <c r="A55" s="1144" t="s">
        <v>4584</v>
      </c>
      <c r="B55" s="954"/>
      <c r="C55" s="955"/>
      <c r="D55" s="958"/>
      <c r="E55" s="956"/>
      <c r="F55" s="1118"/>
      <c r="G55" s="1114"/>
      <c r="H55" s="958"/>
      <c r="I55" s="962"/>
      <c r="J55" s="962"/>
      <c r="K55" s="958"/>
    </row>
    <row r="56" spans="1:11" s="952" customFormat="1" ht="36">
      <c r="A56" s="953" t="s">
        <v>4395</v>
      </c>
      <c r="B56" s="954" t="s">
        <v>4347</v>
      </c>
      <c r="C56" s="955" t="s">
        <v>4249</v>
      </c>
      <c r="D56" s="958" t="s">
        <v>4396</v>
      </c>
      <c r="E56" s="956">
        <v>64000</v>
      </c>
      <c r="F56" s="1118">
        <v>10100544046</v>
      </c>
      <c r="G56" s="1114" t="s">
        <v>4349</v>
      </c>
      <c r="H56" s="958" t="s">
        <v>4252</v>
      </c>
      <c r="I56" s="962">
        <v>43698</v>
      </c>
      <c r="J56" s="962">
        <f>+I56+90</f>
        <v>43788</v>
      </c>
      <c r="K56" s="958" t="s">
        <v>782</v>
      </c>
    </row>
    <row r="57" spans="1:11" s="952" customFormat="1" ht="36">
      <c r="A57" s="953" t="s">
        <v>4397</v>
      </c>
      <c r="B57" s="954" t="s">
        <v>4347</v>
      </c>
      <c r="C57" s="955" t="s">
        <v>4249</v>
      </c>
      <c r="D57" s="958" t="s">
        <v>4398</v>
      </c>
      <c r="E57" s="956">
        <v>48000</v>
      </c>
      <c r="F57" s="1118">
        <v>10103923196</v>
      </c>
      <c r="G57" s="1114" t="s">
        <v>4399</v>
      </c>
      <c r="H57" s="958" t="s">
        <v>4252</v>
      </c>
      <c r="I57" s="962">
        <v>43698</v>
      </c>
      <c r="J57" s="962">
        <f>+I57+90</f>
        <v>43788</v>
      </c>
      <c r="K57" s="958" t="s">
        <v>782</v>
      </c>
    </row>
    <row r="58" spans="1:11" s="952" customFormat="1" ht="36">
      <c r="A58" s="953" t="s">
        <v>4400</v>
      </c>
      <c r="B58" s="954" t="s">
        <v>4347</v>
      </c>
      <c r="C58" s="955" t="s">
        <v>4249</v>
      </c>
      <c r="D58" s="958" t="s">
        <v>4401</v>
      </c>
      <c r="E58" s="956">
        <v>49500</v>
      </c>
      <c r="F58" s="1118">
        <v>10100544046</v>
      </c>
      <c r="G58" s="1114" t="s">
        <v>4349</v>
      </c>
      <c r="H58" s="958" t="s">
        <v>4252</v>
      </c>
      <c r="I58" s="962">
        <v>43698</v>
      </c>
      <c r="J58" s="962">
        <f>+I58+90</f>
        <v>43788</v>
      </c>
      <c r="K58" s="958" t="s">
        <v>782</v>
      </c>
    </row>
    <row r="59" spans="1:11" s="952" customFormat="1" ht="36">
      <c r="A59" s="953" t="s">
        <v>4402</v>
      </c>
      <c r="B59" s="954" t="s">
        <v>4347</v>
      </c>
      <c r="C59" s="955" t="s">
        <v>4249</v>
      </c>
      <c r="D59" s="958" t="s">
        <v>4403</v>
      </c>
      <c r="E59" s="956">
        <v>44800</v>
      </c>
      <c r="F59" s="1118">
        <v>10103923196</v>
      </c>
      <c r="G59" s="1114" t="s">
        <v>4399</v>
      </c>
      <c r="H59" s="958" t="s">
        <v>4252</v>
      </c>
      <c r="I59" s="962">
        <v>43698</v>
      </c>
      <c r="J59" s="962">
        <f>+I59+90</f>
        <v>43788</v>
      </c>
      <c r="K59" s="958" t="s">
        <v>782</v>
      </c>
    </row>
    <row r="60" spans="1:11" s="952" customFormat="1" ht="72">
      <c r="A60" s="953" t="s">
        <v>4404</v>
      </c>
      <c r="B60" s="954" t="s">
        <v>4269</v>
      </c>
      <c r="C60" s="955" t="s">
        <v>4249</v>
      </c>
      <c r="D60" s="958" t="s">
        <v>4405</v>
      </c>
      <c r="E60" s="956">
        <v>1939657.7</v>
      </c>
      <c r="F60" s="1118">
        <v>20155945860</v>
      </c>
      <c r="G60" s="1114" t="s">
        <v>4406</v>
      </c>
      <c r="H60" s="958" t="s">
        <v>4252</v>
      </c>
      <c r="I60" s="962">
        <v>43514</v>
      </c>
      <c r="J60" s="962">
        <v>44167</v>
      </c>
      <c r="K60" s="958" t="s">
        <v>782</v>
      </c>
    </row>
    <row r="61" spans="1:11" s="952" customFormat="1" ht="36">
      <c r="A61" s="953" t="s">
        <v>4407</v>
      </c>
      <c r="B61" s="954" t="s">
        <v>4276</v>
      </c>
      <c r="C61" s="955" t="s">
        <v>4249</v>
      </c>
      <c r="D61" s="958" t="s">
        <v>4408</v>
      </c>
      <c r="E61" s="956">
        <v>11250</v>
      </c>
      <c r="F61" s="1118" t="s">
        <v>4830</v>
      </c>
      <c r="G61" s="1114" t="s">
        <v>4409</v>
      </c>
      <c r="H61" s="958" t="s">
        <v>4252</v>
      </c>
      <c r="I61" s="962">
        <v>43766</v>
      </c>
      <c r="J61" s="962">
        <v>43769</v>
      </c>
      <c r="K61" s="958" t="s">
        <v>782</v>
      </c>
    </row>
    <row r="62" spans="1:11" s="952" customFormat="1" ht="48">
      <c r="A62" s="953" t="s">
        <v>4410</v>
      </c>
      <c r="B62" s="954" t="s">
        <v>4269</v>
      </c>
      <c r="C62" s="955" t="s">
        <v>4249</v>
      </c>
      <c r="D62" s="958" t="s">
        <v>4411</v>
      </c>
      <c r="E62" s="956">
        <v>468200</v>
      </c>
      <c r="F62" s="1118" t="s">
        <v>4831</v>
      </c>
      <c r="G62" s="1114" t="s">
        <v>4412</v>
      </c>
      <c r="H62" s="958" t="s">
        <v>4252</v>
      </c>
      <c r="I62" s="962">
        <v>43681</v>
      </c>
      <c r="J62" s="962">
        <v>44167</v>
      </c>
      <c r="K62" s="958" t="s">
        <v>782</v>
      </c>
    </row>
    <row r="63" spans="1:11" s="952" customFormat="1" ht="24">
      <c r="A63" s="953" t="s">
        <v>4413</v>
      </c>
      <c r="B63" s="954" t="s">
        <v>4304</v>
      </c>
      <c r="C63" s="955" t="s">
        <v>4249</v>
      </c>
      <c r="D63" s="958" t="s">
        <v>4414</v>
      </c>
      <c r="E63" s="956">
        <v>480000</v>
      </c>
      <c r="F63" s="1118">
        <v>20372475707</v>
      </c>
      <c r="G63" s="1114" t="s">
        <v>4415</v>
      </c>
      <c r="H63" s="958" t="s">
        <v>4252</v>
      </c>
      <c r="I63" s="962">
        <v>43799</v>
      </c>
      <c r="J63" s="958" t="s">
        <v>4327</v>
      </c>
      <c r="K63" s="958" t="s">
        <v>782</v>
      </c>
    </row>
    <row r="64" spans="1:11" s="952" customFormat="1" ht="24">
      <c r="A64" s="953" t="s">
        <v>4416</v>
      </c>
      <c r="B64" s="954" t="s">
        <v>4304</v>
      </c>
      <c r="C64" s="955" t="s">
        <v>4249</v>
      </c>
      <c r="D64" s="958" t="s">
        <v>4417</v>
      </c>
      <c r="E64" s="956">
        <v>50000</v>
      </c>
      <c r="F64" s="1118">
        <v>20346525895</v>
      </c>
      <c r="G64" s="1114" t="s">
        <v>4418</v>
      </c>
      <c r="H64" s="958" t="s">
        <v>4252</v>
      </c>
      <c r="I64" s="962">
        <v>43776</v>
      </c>
      <c r="J64" s="958" t="s">
        <v>4327</v>
      </c>
      <c r="K64" s="958" t="s">
        <v>782</v>
      </c>
    </row>
    <row r="65" spans="1:11" s="952" customFormat="1" ht="24">
      <c r="A65" s="953" t="s">
        <v>4419</v>
      </c>
      <c r="B65" s="954" t="s">
        <v>4304</v>
      </c>
      <c r="C65" s="955" t="s">
        <v>4249</v>
      </c>
      <c r="D65" s="958" t="s">
        <v>4420</v>
      </c>
      <c r="E65" s="956">
        <v>50000</v>
      </c>
      <c r="F65" s="1118">
        <v>20511091803</v>
      </c>
      <c r="G65" s="1114" t="s">
        <v>4421</v>
      </c>
      <c r="H65" s="958" t="s">
        <v>4252</v>
      </c>
      <c r="I65" s="962">
        <v>43768</v>
      </c>
      <c r="J65" s="958" t="s">
        <v>4327</v>
      </c>
      <c r="K65" s="958" t="s">
        <v>782</v>
      </c>
    </row>
    <row r="66" spans="1:11" s="952" customFormat="1" ht="36">
      <c r="A66" s="953" t="s">
        <v>4422</v>
      </c>
      <c r="B66" s="954" t="s">
        <v>4304</v>
      </c>
      <c r="C66" s="955" t="s">
        <v>4249</v>
      </c>
      <c r="D66" s="958" t="s">
        <v>4423</v>
      </c>
      <c r="E66" s="956">
        <v>222125.89</v>
      </c>
      <c r="F66" s="1118">
        <v>20101984291</v>
      </c>
      <c r="G66" s="1114" t="s">
        <v>4424</v>
      </c>
      <c r="H66" s="958" t="s">
        <v>4252</v>
      </c>
      <c r="I66" s="962">
        <v>43802</v>
      </c>
      <c r="J66" s="962">
        <f>+I66+20</f>
        <v>43822</v>
      </c>
      <c r="K66" s="958" t="s">
        <v>782</v>
      </c>
    </row>
    <row r="67" spans="1:11" s="952" customFormat="1" ht="24">
      <c r="A67" s="953" t="s">
        <v>4425</v>
      </c>
      <c r="B67" s="954" t="s">
        <v>4276</v>
      </c>
      <c r="C67" s="955" t="s">
        <v>4249</v>
      </c>
      <c r="D67" s="958" t="s">
        <v>4426</v>
      </c>
      <c r="E67" s="956">
        <v>225000</v>
      </c>
      <c r="F67" s="1118" t="s">
        <v>4832</v>
      </c>
      <c r="G67" s="1114" t="s">
        <v>4427</v>
      </c>
      <c r="H67" s="958" t="s">
        <v>4252</v>
      </c>
      <c r="I67" s="962">
        <v>43891</v>
      </c>
      <c r="J67" s="962">
        <v>43894</v>
      </c>
      <c r="K67" s="958" t="s">
        <v>782</v>
      </c>
    </row>
    <row r="68" spans="1:11" s="952" customFormat="1" ht="36">
      <c r="A68" s="959" t="s">
        <v>4428</v>
      </c>
      <c r="B68" s="960" t="s">
        <v>716</v>
      </c>
      <c r="C68" s="955" t="s">
        <v>4249</v>
      </c>
      <c r="D68" s="958" t="s">
        <v>4429</v>
      </c>
      <c r="E68" s="961">
        <v>69810</v>
      </c>
      <c r="F68" s="1119">
        <v>20100488699</v>
      </c>
      <c r="G68" s="1115" t="s">
        <v>4430</v>
      </c>
      <c r="H68" s="958" t="s">
        <v>4252</v>
      </c>
      <c r="I68" s="962">
        <v>43799</v>
      </c>
      <c r="J68" s="962">
        <v>43801</v>
      </c>
      <c r="K68" s="958" t="s">
        <v>782</v>
      </c>
    </row>
    <row r="69" spans="1:11" s="952" customFormat="1" ht="36">
      <c r="A69" s="959" t="s">
        <v>4431</v>
      </c>
      <c r="B69" s="960" t="s">
        <v>4276</v>
      </c>
      <c r="C69" s="955" t="s">
        <v>4249</v>
      </c>
      <c r="D69" s="958" t="s">
        <v>4432</v>
      </c>
      <c r="E69" s="961">
        <v>158130</v>
      </c>
      <c r="F69" s="1119" t="s">
        <v>4833</v>
      </c>
      <c r="G69" s="1115" t="s">
        <v>4433</v>
      </c>
      <c r="H69" s="958" t="s">
        <v>4252</v>
      </c>
      <c r="I69" s="962">
        <v>43803</v>
      </c>
      <c r="J69" s="962">
        <v>43847</v>
      </c>
      <c r="K69" s="958" t="s">
        <v>782</v>
      </c>
    </row>
    <row r="70" spans="1:11" s="952" customFormat="1" ht="36">
      <c r="A70" s="953" t="s">
        <v>4434</v>
      </c>
      <c r="B70" s="954" t="s">
        <v>4304</v>
      </c>
      <c r="C70" s="955" t="s">
        <v>4249</v>
      </c>
      <c r="D70" s="958" t="s">
        <v>4435</v>
      </c>
      <c r="E70" s="956">
        <v>271343.63</v>
      </c>
      <c r="F70" s="1118">
        <v>20182246078</v>
      </c>
      <c r="G70" s="1114" t="s">
        <v>4436</v>
      </c>
      <c r="H70" s="958" t="s">
        <v>4252</v>
      </c>
      <c r="I70" s="962">
        <v>43797</v>
      </c>
      <c r="J70" s="962">
        <v>44162</v>
      </c>
      <c r="K70" s="958" t="s">
        <v>782</v>
      </c>
    </row>
    <row r="71" spans="1:11" s="952" customFormat="1" ht="48">
      <c r="A71" s="953" t="s">
        <v>4437</v>
      </c>
      <c r="B71" s="954" t="s">
        <v>716</v>
      </c>
      <c r="C71" s="955" t="s">
        <v>4249</v>
      </c>
      <c r="D71" s="958" t="s">
        <v>4438</v>
      </c>
      <c r="E71" s="956">
        <f>62000+55000+64000</f>
        <v>181000</v>
      </c>
      <c r="F71" s="1118" t="s">
        <v>4834</v>
      </c>
      <c r="G71" s="1114" t="s">
        <v>4439</v>
      </c>
      <c r="H71" s="958" t="s">
        <v>4252</v>
      </c>
      <c r="I71" s="962">
        <v>43854</v>
      </c>
      <c r="J71" s="962">
        <v>44099</v>
      </c>
      <c r="K71" s="958" t="s">
        <v>782</v>
      </c>
    </row>
    <row r="72" spans="1:11" s="952" customFormat="1" ht="36">
      <c r="A72" s="953" t="s">
        <v>4440</v>
      </c>
      <c r="B72" s="954" t="s">
        <v>4269</v>
      </c>
      <c r="C72" s="955" t="s">
        <v>4249</v>
      </c>
      <c r="D72" s="958" t="s">
        <v>4441</v>
      </c>
      <c r="E72" s="956">
        <v>1498000</v>
      </c>
      <c r="F72" s="1118">
        <v>20543312232</v>
      </c>
      <c r="G72" s="1114" t="s">
        <v>4442</v>
      </c>
      <c r="H72" s="958" t="s">
        <v>4252</v>
      </c>
      <c r="I72" s="962">
        <v>43871</v>
      </c>
      <c r="J72" s="962">
        <v>44967</v>
      </c>
      <c r="K72" s="958" t="s">
        <v>782</v>
      </c>
    </row>
    <row r="73" spans="1:11" s="952" customFormat="1" ht="48">
      <c r="A73" s="953" t="s">
        <v>4443</v>
      </c>
      <c r="B73" s="954" t="s">
        <v>716</v>
      </c>
      <c r="C73" s="955" t="s">
        <v>4249</v>
      </c>
      <c r="D73" s="958" t="s">
        <v>4444</v>
      </c>
      <c r="E73" s="956">
        <v>106005</v>
      </c>
      <c r="F73" s="1118">
        <v>20431995281</v>
      </c>
      <c r="G73" s="1114" t="s">
        <v>4445</v>
      </c>
      <c r="H73" s="958" t="s">
        <v>4252</v>
      </c>
      <c r="I73" s="962">
        <v>43816</v>
      </c>
      <c r="J73" s="962">
        <v>44182</v>
      </c>
      <c r="K73" s="958" t="s">
        <v>782</v>
      </c>
    </row>
    <row r="74" spans="1:11" s="952" customFormat="1" ht="14.25" customHeight="1">
      <c r="A74" s="1144" t="s">
        <v>4584</v>
      </c>
      <c r="B74" s="954"/>
      <c r="C74" s="955"/>
      <c r="D74" s="958"/>
      <c r="E74" s="956"/>
      <c r="F74" s="1118"/>
      <c r="G74" s="1114"/>
      <c r="H74" s="958"/>
      <c r="I74" s="962"/>
      <c r="J74" s="962"/>
      <c r="K74" s="958"/>
    </row>
    <row r="75" spans="1:11" s="952" customFormat="1" ht="120">
      <c r="A75" s="959" t="s">
        <v>4446</v>
      </c>
      <c r="B75" s="960" t="s">
        <v>4286</v>
      </c>
      <c r="C75" s="958" t="s">
        <v>4287</v>
      </c>
      <c r="D75" s="958" t="s">
        <v>4447</v>
      </c>
      <c r="E75" s="961">
        <f>840933.08+99282.84+14962.4+18502.73+27698.02+58951.55+90110.7+33841.57+55226.09+200895.71</f>
        <v>1440404.69</v>
      </c>
      <c r="F75" s="1119" t="s">
        <v>4835</v>
      </c>
      <c r="G75" s="1115" t="s">
        <v>4448</v>
      </c>
      <c r="H75" s="958" t="s">
        <v>4252</v>
      </c>
      <c r="I75" s="962" t="s">
        <v>4449</v>
      </c>
      <c r="J75" s="962" t="s">
        <v>4450</v>
      </c>
      <c r="K75" s="958" t="s">
        <v>782</v>
      </c>
    </row>
    <row r="76" spans="1:11" s="952" customFormat="1" ht="48">
      <c r="A76" s="1104" t="s">
        <v>4451</v>
      </c>
      <c r="B76" s="954" t="s">
        <v>4276</v>
      </c>
      <c r="C76" s="958" t="s">
        <v>4249</v>
      </c>
      <c r="D76" s="958" t="s">
        <v>4452</v>
      </c>
      <c r="E76" s="956">
        <f>2500*3.5</f>
        <v>8750</v>
      </c>
      <c r="F76" s="1118" t="s">
        <v>4836</v>
      </c>
      <c r="G76" s="1114" t="s">
        <v>4453</v>
      </c>
      <c r="H76" s="958" t="s">
        <v>4252</v>
      </c>
      <c r="I76" s="962">
        <v>43609</v>
      </c>
      <c r="J76" s="962">
        <v>43609</v>
      </c>
      <c r="K76" s="958" t="s">
        <v>782</v>
      </c>
    </row>
    <row r="77" spans="1:11" s="952" customFormat="1" ht="36">
      <c r="A77" s="1104" t="s">
        <v>4454</v>
      </c>
      <c r="B77" s="954" t="s">
        <v>4276</v>
      </c>
      <c r="C77" s="958" t="s">
        <v>4249</v>
      </c>
      <c r="D77" s="958" t="s">
        <v>4455</v>
      </c>
      <c r="E77" s="956">
        <f>7728.41*3.5</f>
        <v>27049.434999999998</v>
      </c>
      <c r="F77" s="1118" t="s">
        <v>4837</v>
      </c>
      <c r="G77" s="1114" t="s">
        <v>4456</v>
      </c>
      <c r="H77" s="958" t="s">
        <v>4252</v>
      </c>
      <c r="I77" s="962">
        <v>43527</v>
      </c>
      <c r="J77" s="962">
        <v>43529</v>
      </c>
      <c r="K77" s="958" t="s">
        <v>782</v>
      </c>
    </row>
    <row r="78" spans="1:11" s="952" customFormat="1" ht="36">
      <c r="A78" s="1104" t="s">
        <v>4457</v>
      </c>
      <c r="B78" s="954" t="s">
        <v>4276</v>
      </c>
      <c r="C78" s="958" t="s">
        <v>4249</v>
      </c>
      <c r="D78" s="958" t="s">
        <v>4458</v>
      </c>
      <c r="E78" s="956">
        <f>2938*3.5</f>
        <v>10283</v>
      </c>
      <c r="F78" s="1118" t="s">
        <v>4838</v>
      </c>
      <c r="G78" s="1114" t="s">
        <v>4459</v>
      </c>
      <c r="H78" s="958" t="s">
        <v>4252</v>
      </c>
      <c r="I78" s="962">
        <v>43528</v>
      </c>
      <c r="J78" s="962">
        <v>43529</v>
      </c>
      <c r="K78" s="958" t="s">
        <v>782</v>
      </c>
    </row>
    <row r="79" spans="1:11" s="952" customFormat="1" ht="36">
      <c r="A79" s="1104" t="s">
        <v>4460</v>
      </c>
      <c r="B79" s="954" t="s">
        <v>4276</v>
      </c>
      <c r="C79" s="958" t="s">
        <v>4249</v>
      </c>
      <c r="D79" s="958" t="s">
        <v>4461</v>
      </c>
      <c r="E79" s="956">
        <f>1732.29*3.5</f>
        <v>6063.0149999999994</v>
      </c>
      <c r="F79" s="1118" t="s">
        <v>4839</v>
      </c>
      <c r="G79" s="1114" t="s">
        <v>4462</v>
      </c>
      <c r="H79" s="958" t="s">
        <v>4252</v>
      </c>
      <c r="I79" s="958"/>
      <c r="J79" s="958"/>
      <c r="K79" s="958" t="s">
        <v>782</v>
      </c>
    </row>
    <row r="80" spans="1:11" s="952" customFormat="1" ht="24">
      <c r="A80" s="1104" t="s">
        <v>4463</v>
      </c>
      <c r="B80" s="954" t="s">
        <v>716</v>
      </c>
      <c r="C80" s="958" t="s">
        <v>4249</v>
      </c>
      <c r="D80" s="958" t="s">
        <v>4464</v>
      </c>
      <c r="E80" s="956">
        <v>89000</v>
      </c>
      <c r="F80" s="1118" t="s">
        <v>782</v>
      </c>
      <c r="G80" s="1116" t="s">
        <v>782</v>
      </c>
      <c r="H80" s="958" t="s">
        <v>4465</v>
      </c>
      <c r="I80" s="958" t="s">
        <v>782</v>
      </c>
      <c r="J80" s="958" t="s">
        <v>782</v>
      </c>
      <c r="K80" s="958" t="s">
        <v>782</v>
      </c>
    </row>
    <row r="81" spans="1:11" s="952" customFormat="1" ht="48">
      <c r="A81" s="1104" t="s">
        <v>4466</v>
      </c>
      <c r="B81" s="954" t="s">
        <v>4347</v>
      </c>
      <c r="C81" s="958" t="s">
        <v>4249</v>
      </c>
      <c r="D81" s="958" t="s">
        <v>4467</v>
      </c>
      <c r="E81" s="956">
        <v>131165</v>
      </c>
      <c r="F81" s="1118" t="s">
        <v>782</v>
      </c>
      <c r="G81" s="1116" t="s">
        <v>782</v>
      </c>
      <c r="H81" s="958" t="s">
        <v>4465</v>
      </c>
      <c r="I81" s="958" t="s">
        <v>782</v>
      </c>
      <c r="J81" s="958" t="s">
        <v>782</v>
      </c>
      <c r="K81" s="958" t="s">
        <v>782</v>
      </c>
    </row>
    <row r="82" spans="1:11" s="952" customFormat="1" ht="60">
      <c r="A82" s="953" t="s">
        <v>4468</v>
      </c>
      <c r="B82" s="954" t="s">
        <v>716</v>
      </c>
      <c r="C82" s="958" t="s">
        <v>4249</v>
      </c>
      <c r="D82" s="955" t="s">
        <v>4469</v>
      </c>
      <c r="E82" s="956">
        <v>148736.16</v>
      </c>
      <c r="F82" s="1118" t="s">
        <v>782</v>
      </c>
      <c r="G82" s="1117" t="s">
        <v>782</v>
      </c>
      <c r="H82" s="955" t="s">
        <v>4470</v>
      </c>
      <c r="I82" s="955" t="s">
        <v>782</v>
      </c>
      <c r="J82" s="955" t="s">
        <v>782</v>
      </c>
      <c r="K82" s="955" t="s">
        <v>782</v>
      </c>
    </row>
    <row r="83" spans="1:11" s="952" customFormat="1" ht="48">
      <c r="A83" s="953" t="s">
        <v>4471</v>
      </c>
      <c r="B83" s="954" t="s">
        <v>716</v>
      </c>
      <c r="C83" s="958" t="s">
        <v>4249</v>
      </c>
      <c r="D83" s="955" t="s">
        <v>4472</v>
      </c>
      <c r="E83" s="956">
        <v>39500</v>
      </c>
      <c r="F83" s="1118" t="s">
        <v>782</v>
      </c>
      <c r="G83" s="1117" t="s">
        <v>782</v>
      </c>
      <c r="H83" s="955" t="s">
        <v>4470</v>
      </c>
      <c r="I83" s="955" t="s">
        <v>782</v>
      </c>
      <c r="J83" s="955" t="s">
        <v>782</v>
      </c>
      <c r="K83" s="955" t="s">
        <v>782</v>
      </c>
    </row>
    <row r="84" spans="1:11" s="952" customFormat="1" ht="72">
      <c r="A84" s="953" t="s">
        <v>4473</v>
      </c>
      <c r="B84" s="954" t="s">
        <v>716</v>
      </c>
      <c r="C84" s="958" t="s">
        <v>4249</v>
      </c>
      <c r="D84" s="955" t="s">
        <v>4474</v>
      </c>
      <c r="E84" s="956">
        <v>328524</v>
      </c>
      <c r="F84" s="1118" t="s">
        <v>782</v>
      </c>
      <c r="G84" s="1117" t="s">
        <v>782</v>
      </c>
      <c r="H84" s="955" t="s">
        <v>4470</v>
      </c>
      <c r="I84" s="955" t="s">
        <v>782</v>
      </c>
      <c r="J84" s="955" t="s">
        <v>782</v>
      </c>
      <c r="K84" s="955" t="s">
        <v>782</v>
      </c>
    </row>
    <row r="85" spans="1:11" s="952" customFormat="1" ht="60">
      <c r="A85" s="953" t="s">
        <v>4475</v>
      </c>
      <c r="B85" s="954" t="s">
        <v>716</v>
      </c>
      <c r="C85" s="958" t="s">
        <v>4249</v>
      </c>
      <c r="D85" s="958" t="s">
        <v>4476</v>
      </c>
      <c r="E85" s="956">
        <v>680625</v>
      </c>
      <c r="F85" s="1118" t="s">
        <v>782</v>
      </c>
      <c r="G85" s="1116" t="s">
        <v>782</v>
      </c>
      <c r="H85" s="958" t="s">
        <v>4470</v>
      </c>
      <c r="I85" s="958" t="s">
        <v>782</v>
      </c>
      <c r="J85" s="958" t="s">
        <v>782</v>
      </c>
      <c r="K85" s="958" t="s">
        <v>782</v>
      </c>
    </row>
    <row r="86" spans="1:11" s="952" customFormat="1" ht="36">
      <c r="A86" s="953" t="s">
        <v>4477</v>
      </c>
      <c r="B86" s="954" t="s">
        <v>716</v>
      </c>
      <c r="C86" s="958" t="s">
        <v>4249</v>
      </c>
      <c r="D86" s="958" t="s">
        <v>4478</v>
      </c>
      <c r="E86" s="956">
        <v>272506.32</v>
      </c>
      <c r="F86" s="1118" t="s">
        <v>782</v>
      </c>
      <c r="G86" s="1116" t="s">
        <v>782</v>
      </c>
      <c r="H86" s="958" t="s">
        <v>4470</v>
      </c>
      <c r="I86" s="958" t="s">
        <v>782</v>
      </c>
      <c r="J86" s="958" t="s">
        <v>782</v>
      </c>
      <c r="K86" s="958" t="s">
        <v>782</v>
      </c>
    </row>
    <row r="87" spans="1:11" s="952" customFormat="1" ht="15" customHeight="1">
      <c r="A87" s="1144" t="s">
        <v>4584</v>
      </c>
      <c r="B87" s="954"/>
      <c r="C87" s="958"/>
      <c r="D87" s="958"/>
      <c r="E87" s="956"/>
      <c r="F87" s="1118"/>
      <c r="G87" s="1116"/>
      <c r="H87" s="958"/>
      <c r="I87" s="958"/>
      <c r="J87" s="958"/>
      <c r="K87" s="958"/>
    </row>
    <row r="88" spans="1:11" s="952" customFormat="1" ht="108">
      <c r="A88" s="953" t="s">
        <v>4479</v>
      </c>
      <c r="B88" s="954" t="s">
        <v>716</v>
      </c>
      <c r="C88" s="958" t="s">
        <v>4249</v>
      </c>
      <c r="D88" s="958" t="s">
        <v>4480</v>
      </c>
      <c r="E88" s="956">
        <v>156178</v>
      </c>
      <c r="F88" s="1118" t="s">
        <v>782</v>
      </c>
      <c r="G88" s="1116" t="s">
        <v>782</v>
      </c>
      <c r="H88" s="958" t="s">
        <v>4470</v>
      </c>
      <c r="I88" s="958" t="s">
        <v>782</v>
      </c>
      <c r="J88" s="958" t="s">
        <v>782</v>
      </c>
      <c r="K88" s="958" t="s">
        <v>782</v>
      </c>
    </row>
    <row r="89" spans="1:11" s="952" customFormat="1" ht="36">
      <c r="A89" s="953" t="s">
        <v>4481</v>
      </c>
      <c r="B89" s="954" t="s">
        <v>716</v>
      </c>
      <c r="C89" s="958" t="s">
        <v>4249</v>
      </c>
      <c r="D89" s="958" t="s">
        <v>4482</v>
      </c>
      <c r="E89" s="956">
        <v>129398</v>
      </c>
      <c r="F89" s="1118" t="s">
        <v>782</v>
      </c>
      <c r="G89" s="1116" t="s">
        <v>782</v>
      </c>
      <c r="H89" s="958" t="s">
        <v>4470</v>
      </c>
      <c r="I89" s="958" t="s">
        <v>782</v>
      </c>
      <c r="J89" s="958" t="s">
        <v>782</v>
      </c>
      <c r="K89" s="958" t="s">
        <v>782</v>
      </c>
    </row>
    <row r="90" spans="1:11" s="952" customFormat="1" ht="60">
      <c r="A90" s="953" t="s">
        <v>4483</v>
      </c>
      <c r="B90" s="954" t="s">
        <v>716</v>
      </c>
      <c r="C90" s="958" t="s">
        <v>4249</v>
      </c>
      <c r="D90" s="955" t="s">
        <v>4484</v>
      </c>
      <c r="E90" s="956">
        <v>83500</v>
      </c>
      <c r="F90" s="1118" t="s">
        <v>782</v>
      </c>
      <c r="G90" s="1117" t="s">
        <v>782</v>
      </c>
      <c r="H90" s="955" t="s">
        <v>4485</v>
      </c>
      <c r="I90" s="955" t="s">
        <v>782</v>
      </c>
      <c r="J90" s="955" t="s">
        <v>782</v>
      </c>
      <c r="K90" s="955" t="s">
        <v>782</v>
      </c>
    </row>
    <row r="91" spans="1:11" s="952" customFormat="1" ht="48">
      <c r="A91" s="953" t="s">
        <v>4486</v>
      </c>
      <c r="B91" s="954" t="s">
        <v>716</v>
      </c>
      <c r="C91" s="958" t="s">
        <v>4249</v>
      </c>
      <c r="D91" s="958" t="s">
        <v>4487</v>
      </c>
      <c r="E91" s="956">
        <v>180618.5</v>
      </c>
      <c r="F91" s="1118" t="s">
        <v>782</v>
      </c>
      <c r="G91" s="1116" t="s">
        <v>782</v>
      </c>
      <c r="H91" s="958" t="s">
        <v>4485</v>
      </c>
      <c r="I91" s="958" t="s">
        <v>782</v>
      </c>
      <c r="J91" s="958" t="s">
        <v>782</v>
      </c>
      <c r="K91" s="958" t="s">
        <v>782</v>
      </c>
    </row>
    <row r="92" spans="1:11" s="952" customFormat="1" ht="36">
      <c r="A92" s="953" t="s">
        <v>4488</v>
      </c>
      <c r="B92" s="954" t="s">
        <v>716</v>
      </c>
      <c r="C92" s="958" t="s">
        <v>4249</v>
      </c>
      <c r="D92" s="958" t="s">
        <v>4489</v>
      </c>
      <c r="E92" s="956">
        <v>145333</v>
      </c>
      <c r="F92" s="1118" t="s">
        <v>782</v>
      </c>
      <c r="G92" s="1116" t="s">
        <v>782</v>
      </c>
      <c r="H92" s="958" t="s">
        <v>4485</v>
      </c>
      <c r="I92" s="958" t="s">
        <v>782</v>
      </c>
      <c r="J92" s="958" t="s">
        <v>782</v>
      </c>
      <c r="K92" s="958" t="s">
        <v>782</v>
      </c>
    </row>
    <row r="93" spans="1:11" s="952" customFormat="1" ht="36">
      <c r="A93" s="953" t="s">
        <v>4490</v>
      </c>
      <c r="B93" s="954" t="s">
        <v>716</v>
      </c>
      <c r="C93" s="958" t="s">
        <v>4249</v>
      </c>
      <c r="D93" s="958" t="s">
        <v>4491</v>
      </c>
      <c r="E93" s="956">
        <v>48264.6</v>
      </c>
      <c r="F93" s="1118" t="s">
        <v>782</v>
      </c>
      <c r="G93" s="1116" t="s">
        <v>782</v>
      </c>
      <c r="H93" s="958" t="s">
        <v>4485</v>
      </c>
      <c r="I93" s="958" t="s">
        <v>782</v>
      </c>
      <c r="J93" s="958" t="s">
        <v>782</v>
      </c>
      <c r="K93" s="958" t="s">
        <v>782</v>
      </c>
    </row>
    <row r="94" spans="1:11" s="952" customFormat="1" ht="36">
      <c r="A94" s="959" t="s">
        <v>4492</v>
      </c>
      <c r="B94" s="960" t="s">
        <v>716</v>
      </c>
      <c r="C94" s="958" t="s">
        <v>4249</v>
      </c>
      <c r="D94" s="958" t="s">
        <v>4493</v>
      </c>
      <c r="E94" s="961">
        <v>1087586.5</v>
      </c>
      <c r="F94" s="1119">
        <v>20431995281</v>
      </c>
      <c r="G94" s="1115" t="s">
        <v>4494</v>
      </c>
      <c r="H94" s="958" t="s">
        <v>4495</v>
      </c>
      <c r="I94" s="958" t="s">
        <v>782</v>
      </c>
      <c r="J94" s="958" t="s">
        <v>782</v>
      </c>
      <c r="K94" s="958" t="s">
        <v>782</v>
      </c>
    </row>
    <row r="95" spans="1:11" s="952" customFormat="1" ht="24">
      <c r="A95" s="959" t="s">
        <v>4496</v>
      </c>
      <c r="B95" s="960" t="s">
        <v>716</v>
      </c>
      <c r="C95" s="958" t="s">
        <v>4249</v>
      </c>
      <c r="D95" s="958" t="s">
        <v>4497</v>
      </c>
      <c r="E95" s="961">
        <v>61250</v>
      </c>
      <c r="F95" s="1119">
        <v>20600162455</v>
      </c>
      <c r="G95" s="1115" t="s">
        <v>4498</v>
      </c>
      <c r="H95" s="958" t="s">
        <v>4495</v>
      </c>
      <c r="I95" s="958" t="s">
        <v>782</v>
      </c>
      <c r="J95" s="958" t="s">
        <v>782</v>
      </c>
      <c r="K95" s="958" t="s">
        <v>782</v>
      </c>
    </row>
    <row r="96" spans="1:11" s="952" customFormat="1" ht="12">
      <c r="A96" s="1145"/>
      <c r="B96" s="1146"/>
      <c r="C96" s="1109"/>
      <c r="D96" s="1109"/>
      <c r="E96" s="1147"/>
      <c r="F96" s="1147"/>
      <c r="G96" s="1147"/>
      <c r="H96" s="1109"/>
      <c r="I96" s="1109"/>
      <c r="J96" s="1109"/>
      <c r="K96" s="1109"/>
    </row>
    <row r="97" spans="1:11" s="952" customFormat="1" ht="15.75" customHeight="1">
      <c r="A97" s="1151" t="s">
        <v>4584</v>
      </c>
      <c r="B97" s="1148"/>
      <c r="C97" s="1149"/>
      <c r="D97" s="1149"/>
      <c r="E97" s="1150"/>
      <c r="F97" s="1150"/>
      <c r="G97" s="1150"/>
      <c r="H97" s="1149"/>
      <c r="I97" s="1149"/>
      <c r="J97" s="1149"/>
      <c r="K97" s="1149"/>
    </row>
    <row r="98" spans="1:11" s="952" customFormat="1" ht="20.100000000000001" customHeight="1">
      <c r="A98" s="1044" t="s">
        <v>4583</v>
      </c>
      <c r="B98" s="988"/>
      <c r="C98" s="988"/>
      <c r="D98" s="988"/>
      <c r="E98" s="1152">
        <f>SUM(E99:E134)</f>
        <v>43676797.079999998</v>
      </c>
      <c r="F98" s="1152"/>
      <c r="G98" s="988"/>
      <c r="H98" s="988"/>
      <c r="I98" s="988"/>
      <c r="J98" s="988"/>
      <c r="K98" s="1045"/>
    </row>
    <row r="99" spans="1:11" s="952" customFormat="1" ht="36">
      <c r="A99" s="953" t="s">
        <v>4499</v>
      </c>
      <c r="B99" s="966" t="s">
        <v>716</v>
      </c>
      <c r="C99" s="958" t="s">
        <v>4249</v>
      </c>
      <c r="D99" s="966" t="s">
        <v>4500</v>
      </c>
      <c r="E99" s="968">
        <v>120000</v>
      </c>
      <c r="F99" s="1121" t="s">
        <v>4802</v>
      </c>
      <c r="G99" s="1124" t="s">
        <v>4501</v>
      </c>
      <c r="H99" s="958" t="s">
        <v>4252</v>
      </c>
      <c r="I99" s="962">
        <v>44046</v>
      </c>
      <c r="J99" s="962">
        <v>44172</v>
      </c>
      <c r="K99" s="958" t="s">
        <v>782</v>
      </c>
    </row>
    <row r="100" spans="1:11" s="952" customFormat="1" ht="24">
      <c r="A100" s="953" t="s">
        <v>4502</v>
      </c>
      <c r="B100" s="966" t="s">
        <v>4503</v>
      </c>
      <c r="C100" s="958" t="s">
        <v>4287</v>
      </c>
      <c r="D100" s="966" t="s">
        <v>4504</v>
      </c>
      <c r="E100" s="968">
        <v>17105.28</v>
      </c>
      <c r="F100" s="1121" t="s">
        <v>4804</v>
      </c>
      <c r="G100" s="1124" t="s">
        <v>4505</v>
      </c>
      <c r="H100" s="958" t="s">
        <v>4252</v>
      </c>
      <c r="I100" s="962">
        <v>44039</v>
      </c>
      <c r="J100" s="962">
        <v>44043</v>
      </c>
      <c r="K100" s="958" t="s">
        <v>782</v>
      </c>
    </row>
    <row r="101" spans="1:11" s="952" customFormat="1" ht="72">
      <c r="A101" s="953" t="s">
        <v>4506</v>
      </c>
      <c r="B101" s="966" t="s">
        <v>4507</v>
      </c>
      <c r="C101" s="958" t="s">
        <v>4249</v>
      </c>
      <c r="D101" s="966" t="s">
        <v>4508</v>
      </c>
      <c r="E101" s="968">
        <v>539025.99</v>
      </c>
      <c r="F101" s="1121" t="s">
        <v>4805</v>
      </c>
      <c r="G101" s="1124" t="s">
        <v>4509</v>
      </c>
      <c r="H101" s="958" t="s">
        <v>4252</v>
      </c>
      <c r="I101" s="962" t="s">
        <v>4510</v>
      </c>
      <c r="J101" s="962" t="s">
        <v>4511</v>
      </c>
      <c r="K101" s="958" t="s">
        <v>782</v>
      </c>
    </row>
    <row r="102" spans="1:11" s="952" customFormat="1" ht="60">
      <c r="A102" s="953" t="s">
        <v>4512</v>
      </c>
      <c r="B102" s="966" t="s">
        <v>716</v>
      </c>
      <c r="C102" s="958" t="s">
        <v>4249</v>
      </c>
      <c r="D102" s="966" t="s">
        <v>4513</v>
      </c>
      <c r="E102" s="968">
        <v>142306</v>
      </c>
      <c r="F102" s="1121">
        <v>20392669974</v>
      </c>
      <c r="G102" s="1124" t="s">
        <v>4514</v>
      </c>
      <c r="H102" s="958" t="s">
        <v>4252</v>
      </c>
      <c r="I102" s="962">
        <v>43843</v>
      </c>
      <c r="J102" s="962">
        <v>43846</v>
      </c>
      <c r="K102" s="958" t="s">
        <v>782</v>
      </c>
    </row>
    <row r="103" spans="1:11" s="952" customFormat="1" ht="36">
      <c r="A103" s="953" t="s">
        <v>4515</v>
      </c>
      <c r="B103" s="966" t="s">
        <v>4507</v>
      </c>
      <c r="C103" s="958" t="s">
        <v>4249</v>
      </c>
      <c r="D103" s="966" t="s">
        <v>4516</v>
      </c>
      <c r="E103" s="968">
        <v>541569</v>
      </c>
      <c r="F103" s="1121" t="s">
        <v>4807</v>
      </c>
      <c r="G103" s="1124" t="s">
        <v>4517</v>
      </c>
      <c r="H103" s="958" t="s">
        <v>4252</v>
      </c>
      <c r="I103" s="962">
        <v>43992</v>
      </c>
      <c r="J103" s="962">
        <v>43997</v>
      </c>
      <c r="K103" s="958" t="s">
        <v>782</v>
      </c>
    </row>
    <row r="104" spans="1:11" s="952" customFormat="1" ht="24">
      <c r="A104" s="953" t="s">
        <v>4518</v>
      </c>
      <c r="B104" s="966" t="s">
        <v>4304</v>
      </c>
      <c r="C104" s="958" t="s">
        <v>4249</v>
      </c>
      <c r="D104" s="966" t="s">
        <v>4519</v>
      </c>
      <c r="E104" s="968">
        <v>450000</v>
      </c>
      <c r="F104" s="1121" t="s">
        <v>4808</v>
      </c>
      <c r="G104" s="1124" t="s">
        <v>4520</v>
      </c>
      <c r="H104" s="958" t="s">
        <v>4252</v>
      </c>
      <c r="I104" s="962">
        <v>44076</v>
      </c>
      <c r="J104" s="962">
        <v>44106</v>
      </c>
      <c r="K104" s="958" t="s">
        <v>782</v>
      </c>
    </row>
    <row r="105" spans="1:11" s="952" customFormat="1" ht="72">
      <c r="A105" s="953" t="s">
        <v>4521</v>
      </c>
      <c r="B105" s="966" t="s">
        <v>716</v>
      </c>
      <c r="C105" s="958" t="s">
        <v>4249</v>
      </c>
      <c r="D105" s="966" t="s">
        <v>4522</v>
      </c>
      <c r="E105" s="968">
        <v>104000</v>
      </c>
      <c r="F105" s="1121" t="s">
        <v>4809</v>
      </c>
      <c r="G105" s="1124" t="s">
        <v>4523</v>
      </c>
      <c r="H105" s="958" t="s">
        <v>4252</v>
      </c>
      <c r="I105" s="962">
        <v>44091</v>
      </c>
      <c r="J105" s="962">
        <v>44160</v>
      </c>
      <c r="K105" s="958" t="s">
        <v>782</v>
      </c>
    </row>
    <row r="106" spans="1:11" s="952" customFormat="1" ht="36">
      <c r="A106" s="953" t="s">
        <v>4524</v>
      </c>
      <c r="B106" s="966" t="s">
        <v>4304</v>
      </c>
      <c r="C106" s="958" t="s">
        <v>4249</v>
      </c>
      <c r="D106" s="966" t="s">
        <v>4525</v>
      </c>
      <c r="E106" s="968">
        <v>100000</v>
      </c>
      <c r="F106" s="1121" t="s">
        <v>4810</v>
      </c>
      <c r="G106" s="1124" t="s">
        <v>4526</v>
      </c>
      <c r="H106" s="958" t="s">
        <v>4252</v>
      </c>
      <c r="I106" s="962" t="s">
        <v>782</v>
      </c>
      <c r="J106" s="962" t="s">
        <v>4811</v>
      </c>
      <c r="K106" s="958" t="s">
        <v>782</v>
      </c>
    </row>
    <row r="107" spans="1:11" s="952" customFormat="1" ht="48">
      <c r="A107" s="953" t="s">
        <v>4527</v>
      </c>
      <c r="B107" s="966" t="s">
        <v>716</v>
      </c>
      <c r="C107" s="958" t="s">
        <v>4249</v>
      </c>
      <c r="D107" s="966" t="s">
        <v>4528</v>
      </c>
      <c r="E107" s="969">
        <v>140000</v>
      </c>
      <c r="F107" s="1120" t="s">
        <v>4812</v>
      </c>
      <c r="G107" s="1125" t="s">
        <v>4529</v>
      </c>
      <c r="H107" s="958" t="s">
        <v>626</v>
      </c>
      <c r="I107" s="962" t="s">
        <v>782</v>
      </c>
      <c r="J107" s="962">
        <v>44196</v>
      </c>
      <c r="K107" s="958" t="s">
        <v>782</v>
      </c>
    </row>
    <row r="108" spans="1:11" s="952" customFormat="1" ht="60">
      <c r="A108" s="953" t="s">
        <v>4530</v>
      </c>
      <c r="B108" s="966" t="s">
        <v>4507</v>
      </c>
      <c r="C108" s="958" t="s">
        <v>4249</v>
      </c>
      <c r="D108" s="966" t="s">
        <v>4531</v>
      </c>
      <c r="E108" s="968">
        <v>1450000</v>
      </c>
      <c r="F108" s="1121" t="s">
        <v>4813</v>
      </c>
      <c r="G108" s="1124" t="s">
        <v>4532</v>
      </c>
      <c r="H108" s="958" t="s">
        <v>4252</v>
      </c>
      <c r="I108" s="962">
        <v>44074</v>
      </c>
      <c r="J108" s="962">
        <v>44164</v>
      </c>
      <c r="K108" s="958" t="s">
        <v>782</v>
      </c>
    </row>
    <row r="109" spans="1:11" s="952" customFormat="1" ht="48">
      <c r="A109" s="953" t="s">
        <v>4533</v>
      </c>
      <c r="B109" s="966" t="s">
        <v>716</v>
      </c>
      <c r="C109" s="958" t="s">
        <v>4249</v>
      </c>
      <c r="D109" s="966" t="s">
        <v>4534</v>
      </c>
      <c r="E109" s="970">
        <v>272500</v>
      </c>
      <c r="F109" s="1122" t="s">
        <v>4814</v>
      </c>
      <c r="G109" s="1126" t="s">
        <v>4535</v>
      </c>
      <c r="H109" s="971" t="s">
        <v>4252</v>
      </c>
      <c r="I109" s="962">
        <v>44070</v>
      </c>
      <c r="J109" s="962">
        <v>44190</v>
      </c>
      <c r="K109" s="958" t="s">
        <v>782</v>
      </c>
    </row>
    <row r="110" spans="1:11" s="952" customFormat="1" ht="24">
      <c r="A110" s="953" t="s">
        <v>4536</v>
      </c>
      <c r="B110" s="966" t="s">
        <v>4269</v>
      </c>
      <c r="C110" s="958" t="s">
        <v>4249</v>
      </c>
      <c r="D110" s="966" t="s">
        <v>4537</v>
      </c>
      <c r="E110" s="968">
        <v>880526</v>
      </c>
      <c r="F110" s="1121" t="s">
        <v>782</v>
      </c>
      <c r="G110" s="1116" t="s">
        <v>782</v>
      </c>
      <c r="H110" s="958" t="s">
        <v>675</v>
      </c>
      <c r="I110" s="962"/>
      <c r="J110" s="962">
        <v>44891</v>
      </c>
      <c r="K110" s="958" t="s">
        <v>782</v>
      </c>
    </row>
    <row r="111" spans="1:11" s="952" customFormat="1" ht="24">
      <c r="A111" s="953" t="s">
        <v>4538</v>
      </c>
      <c r="B111" s="966" t="s">
        <v>4269</v>
      </c>
      <c r="C111" s="958" t="s">
        <v>4249</v>
      </c>
      <c r="D111" s="966" t="s">
        <v>4539</v>
      </c>
      <c r="E111" s="968">
        <v>12430363</v>
      </c>
      <c r="F111" s="1121" t="s">
        <v>782</v>
      </c>
      <c r="G111" s="1116" t="s">
        <v>782</v>
      </c>
      <c r="H111" s="958" t="s">
        <v>4540</v>
      </c>
      <c r="I111" s="962"/>
      <c r="J111" s="962">
        <v>44829</v>
      </c>
      <c r="K111" s="958" t="s">
        <v>782</v>
      </c>
    </row>
    <row r="112" spans="1:11" s="952" customFormat="1" ht="36">
      <c r="A112" s="953" t="s">
        <v>4541</v>
      </c>
      <c r="B112" s="966" t="s">
        <v>4269</v>
      </c>
      <c r="C112" s="958" t="s">
        <v>4249</v>
      </c>
      <c r="D112" s="966" t="s">
        <v>4542</v>
      </c>
      <c r="E112" s="968">
        <v>3990000</v>
      </c>
      <c r="F112" s="1121" t="s">
        <v>782</v>
      </c>
      <c r="G112" s="1116" t="s">
        <v>782</v>
      </c>
      <c r="H112" s="958" t="s">
        <v>626</v>
      </c>
      <c r="I112" s="962"/>
      <c r="J112" s="962">
        <v>44909</v>
      </c>
      <c r="K112" s="958" t="s">
        <v>782</v>
      </c>
    </row>
    <row r="113" spans="1:11" s="952" customFormat="1" ht="36">
      <c r="A113" s="953" t="s">
        <v>4543</v>
      </c>
      <c r="B113" s="967" t="s">
        <v>4269</v>
      </c>
      <c r="C113" s="958" t="s">
        <v>4249</v>
      </c>
      <c r="D113" s="967" t="s">
        <v>4544</v>
      </c>
      <c r="E113" s="970">
        <v>2200807</v>
      </c>
      <c r="F113" s="1122" t="s">
        <v>782</v>
      </c>
      <c r="G113" s="1116" t="s">
        <v>782</v>
      </c>
      <c r="H113" s="958" t="s">
        <v>4545</v>
      </c>
      <c r="I113" s="962"/>
      <c r="J113" s="962">
        <v>44458</v>
      </c>
      <c r="K113" s="958" t="s">
        <v>782</v>
      </c>
    </row>
    <row r="114" spans="1:11" s="952" customFormat="1" ht="18" customHeight="1">
      <c r="A114" s="1151" t="s">
        <v>4584</v>
      </c>
      <c r="B114" s="967"/>
      <c r="C114" s="958"/>
      <c r="D114" s="967"/>
      <c r="E114" s="970"/>
      <c r="F114" s="1122"/>
      <c r="G114" s="1116"/>
      <c r="H114" s="958"/>
      <c r="I114" s="962"/>
      <c r="J114" s="962"/>
      <c r="K114" s="958"/>
    </row>
    <row r="115" spans="1:11" s="952" customFormat="1" ht="48">
      <c r="A115" s="953" t="s">
        <v>4546</v>
      </c>
      <c r="B115" s="966" t="s">
        <v>716</v>
      </c>
      <c r="C115" s="958" t="s">
        <v>4249</v>
      </c>
      <c r="D115" s="966" t="s">
        <v>4547</v>
      </c>
      <c r="E115" s="968">
        <v>41664</v>
      </c>
      <c r="F115" s="1121" t="s">
        <v>782</v>
      </c>
      <c r="G115" s="1116" t="s">
        <v>782</v>
      </c>
      <c r="H115" s="958" t="s">
        <v>675</v>
      </c>
      <c r="I115" s="962" t="s">
        <v>782</v>
      </c>
      <c r="J115" s="962">
        <v>44154</v>
      </c>
      <c r="K115" s="958" t="s">
        <v>782</v>
      </c>
    </row>
    <row r="116" spans="1:11" s="952" customFormat="1" ht="36">
      <c r="A116" s="953" t="s">
        <v>4548</v>
      </c>
      <c r="B116" s="966" t="s">
        <v>716</v>
      </c>
      <c r="C116" s="958" t="s">
        <v>4249</v>
      </c>
      <c r="D116" s="966" t="s">
        <v>4549</v>
      </c>
      <c r="E116" s="968">
        <v>155789</v>
      </c>
      <c r="F116" s="1121" t="s">
        <v>782</v>
      </c>
      <c r="G116" s="1116" t="s">
        <v>782</v>
      </c>
      <c r="H116" s="968" t="s">
        <v>4470</v>
      </c>
      <c r="I116" s="962" t="s">
        <v>782</v>
      </c>
      <c r="J116" s="962">
        <v>44227</v>
      </c>
      <c r="K116" s="958" t="s">
        <v>782</v>
      </c>
    </row>
    <row r="117" spans="1:11" s="952" customFormat="1" ht="36">
      <c r="A117" s="953" t="s">
        <v>4550</v>
      </c>
      <c r="B117" s="966" t="s">
        <v>716</v>
      </c>
      <c r="C117" s="958" t="s">
        <v>4249</v>
      </c>
      <c r="D117" s="966" t="s">
        <v>4551</v>
      </c>
      <c r="E117" s="968">
        <v>232628.25</v>
      </c>
      <c r="F117" s="1121" t="s">
        <v>782</v>
      </c>
      <c r="G117" s="1116" t="s">
        <v>782</v>
      </c>
      <c r="H117" s="958" t="s">
        <v>626</v>
      </c>
      <c r="I117" s="962" t="s">
        <v>782</v>
      </c>
      <c r="J117" s="962">
        <v>44196</v>
      </c>
      <c r="K117" s="958" t="s">
        <v>782</v>
      </c>
    </row>
    <row r="118" spans="1:11" s="952" customFormat="1" ht="48">
      <c r="A118" s="953" t="s">
        <v>4552</v>
      </c>
      <c r="B118" s="966" t="s">
        <v>716</v>
      </c>
      <c r="C118" s="958" t="s">
        <v>4249</v>
      </c>
      <c r="D118" s="966" t="s">
        <v>4553</v>
      </c>
      <c r="E118" s="968">
        <v>145850</v>
      </c>
      <c r="F118" s="1121" t="s">
        <v>782</v>
      </c>
      <c r="G118" s="1116" t="s">
        <v>782</v>
      </c>
      <c r="H118" s="968" t="s">
        <v>4470</v>
      </c>
      <c r="I118" s="962" t="s">
        <v>782</v>
      </c>
      <c r="J118" s="962">
        <v>44227</v>
      </c>
      <c r="K118" s="958" t="s">
        <v>782</v>
      </c>
    </row>
    <row r="119" spans="1:11" s="952" customFormat="1" ht="36">
      <c r="A119" s="953" t="s">
        <v>4554</v>
      </c>
      <c r="B119" s="966" t="s">
        <v>4269</v>
      </c>
      <c r="C119" s="958" t="s">
        <v>4249</v>
      </c>
      <c r="D119" s="966" t="s">
        <v>4555</v>
      </c>
      <c r="E119" s="968">
        <v>498238</v>
      </c>
      <c r="F119" s="1121" t="s">
        <v>782</v>
      </c>
      <c r="G119" s="1116" t="s">
        <v>782</v>
      </c>
      <c r="H119" s="958" t="s">
        <v>4545</v>
      </c>
      <c r="I119" s="962" t="s">
        <v>782</v>
      </c>
      <c r="J119" s="962">
        <v>44516</v>
      </c>
      <c r="K119" s="958" t="s">
        <v>782</v>
      </c>
    </row>
    <row r="120" spans="1:11" s="952" customFormat="1" ht="60">
      <c r="A120" s="953" t="s">
        <v>4556</v>
      </c>
      <c r="B120" s="966" t="s">
        <v>716</v>
      </c>
      <c r="C120" s="958" t="s">
        <v>4249</v>
      </c>
      <c r="D120" s="966" t="s">
        <v>4557</v>
      </c>
      <c r="E120" s="968">
        <v>90665</v>
      </c>
      <c r="F120" s="1121" t="s">
        <v>782</v>
      </c>
      <c r="G120" s="1116" t="s">
        <v>782</v>
      </c>
      <c r="H120" s="958" t="s">
        <v>675</v>
      </c>
      <c r="I120" s="962" t="s">
        <v>782</v>
      </c>
      <c r="J120" s="962">
        <v>44226</v>
      </c>
      <c r="K120" s="958" t="s">
        <v>782</v>
      </c>
    </row>
    <row r="121" spans="1:11" s="952" customFormat="1" ht="36">
      <c r="A121" s="953" t="s">
        <v>4558</v>
      </c>
      <c r="B121" s="966" t="s">
        <v>4269</v>
      </c>
      <c r="C121" s="958" t="s">
        <v>4249</v>
      </c>
      <c r="D121" s="966" t="s">
        <v>4559</v>
      </c>
      <c r="E121" s="968">
        <v>481081.59</v>
      </c>
      <c r="F121" s="1121" t="s">
        <v>782</v>
      </c>
      <c r="G121" s="1116" t="s">
        <v>782</v>
      </c>
      <c r="H121" s="958" t="s">
        <v>4540</v>
      </c>
      <c r="I121" s="962" t="s">
        <v>782</v>
      </c>
      <c r="J121" s="962">
        <v>44241</v>
      </c>
      <c r="K121" s="958" t="s">
        <v>782</v>
      </c>
    </row>
    <row r="122" spans="1:11" s="952" customFormat="1" ht="24">
      <c r="A122" s="953" t="s">
        <v>4560</v>
      </c>
      <c r="B122" s="966" t="s">
        <v>4269</v>
      </c>
      <c r="C122" s="958" t="s">
        <v>4249</v>
      </c>
      <c r="D122" s="966" t="s">
        <v>4561</v>
      </c>
      <c r="E122" s="968">
        <v>3900000</v>
      </c>
      <c r="F122" s="1121" t="s">
        <v>782</v>
      </c>
      <c r="G122" s="1116" t="s">
        <v>782</v>
      </c>
      <c r="H122" s="958" t="s">
        <v>4540</v>
      </c>
      <c r="I122" s="958" t="s">
        <v>782</v>
      </c>
      <c r="J122" s="962">
        <v>45267</v>
      </c>
      <c r="K122" s="958" t="s">
        <v>782</v>
      </c>
    </row>
    <row r="123" spans="1:11" s="952" customFormat="1" ht="72">
      <c r="A123" s="953" t="s">
        <v>4562</v>
      </c>
      <c r="B123" s="966" t="s">
        <v>4269</v>
      </c>
      <c r="C123" s="958" t="s">
        <v>4249</v>
      </c>
      <c r="D123" s="966" t="s">
        <v>4563</v>
      </c>
      <c r="E123" s="968">
        <v>751625</v>
      </c>
      <c r="F123" s="1121" t="s">
        <v>782</v>
      </c>
      <c r="G123" s="1116" t="s">
        <v>782</v>
      </c>
      <c r="H123" s="958" t="s">
        <v>4545</v>
      </c>
      <c r="I123" s="958" t="s">
        <v>782</v>
      </c>
      <c r="J123" s="962">
        <v>44271</v>
      </c>
      <c r="K123" s="958" t="s">
        <v>782</v>
      </c>
    </row>
    <row r="124" spans="1:11" s="952" customFormat="1" ht="60">
      <c r="A124" s="953" t="s">
        <v>4564</v>
      </c>
      <c r="B124" s="966" t="s">
        <v>716</v>
      </c>
      <c r="C124" s="958" t="s">
        <v>4249</v>
      </c>
      <c r="D124" s="966" t="s">
        <v>4565</v>
      </c>
      <c r="E124" s="968">
        <v>69000</v>
      </c>
      <c r="F124" s="1121" t="s">
        <v>782</v>
      </c>
      <c r="G124" s="1116" t="s">
        <v>782</v>
      </c>
      <c r="H124" s="958" t="s">
        <v>4540</v>
      </c>
      <c r="I124" s="958" t="s">
        <v>782</v>
      </c>
      <c r="J124" s="962">
        <v>44134</v>
      </c>
      <c r="K124" s="958" t="s">
        <v>782</v>
      </c>
    </row>
    <row r="125" spans="1:11" s="952" customFormat="1" ht="48">
      <c r="A125" s="953" t="s">
        <v>4566</v>
      </c>
      <c r="B125" s="966" t="s">
        <v>716</v>
      </c>
      <c r="C125" s="958" t="s">
        <v>4249</v>
      </c>
      <c r="D125" s="958" t="s">
        <v>782</v>
      </c>
      <c r="E125" s="970">
        <v>100000</v>
      </c>
      <c r="F125" s="1122" t="s">
        <v>782</v>
      </c>
      <c r="G125" s="1116" t="s">
        <v>782</v>
      </c>
      <c r="H125" s="967" t="s">
        <v>4567</v>
      </c>
      <c r="I125" s="958" t="s">
        <v>782</v>
      </c>
      <c r="J125" s="962">
        <v>44511</v>
      </c>
      <c r="K125" s="958" t="s">
        <v>782</v>
      </c>
    </row>
    <row r="126" spans="1:11" s="952" customFormat="1" ht="36">
      <c r="A126" s="953" t="s">
        <v>4568</v>
      </c>
      <c r="B126" s="966" t="s">
        <v>4269</v>
      </c>
      <c r="C126" s="958" t="s">
        <v>4249</v>
      </c>
      <c r="D126" s="958" t="s">
        <v>782</v>
      </c>
      <c r="E126" s="972">
        <v>3598530.61</v>
      </c>
      <c r="F126" s="1123" t="s">
        <v>782</v>
      </c>
      <c r="G126" s="1116" t="s">
        <v>782</v>
      </c>
      <c r="H126" s="967" t="s">
        <v>4569</v>
      </c>
      <c r="I126" s="958" t="s">
        <v>782</v>
      </c>
      <c r="J126" s="962">
        <v>44682</v>
      </c>
      <c r="K126" s="958" t="s">
        <v>782</v>
      </c>
    </row>
    <row r="127" spans="1:11" s="952" customFormat="1" ht="24">
      <c r="A127" s="953" t="s">
        <v>4570</v>
      </c>
      <c r="B127" s="966" t="s">
        <v>4269</v>
      </c>
      <c r="C127" s="958" t="s">
        <v>4249</v>
      </c>
      <c r="D127" s="958" t="s">
        <v>782</v>
      </c>
      <c r="E127" s="968">
        <v>4371166.96</v>
      </c>
      <c r="F127" s="1121" t="s">
        <v>782</v>
      </c>
      <c r="G127" s="1116" t="s">
        <v>782</v>
      </c>
      <c r="H127" s="967" t="s">
        <v>4571</v>
      </c>
      <c r="I127" s="958" t="s">
        <v>782</v>
      </c>
      <c r="J127" s="962">
        <v>44940</v>
      </c>
      <c r="K127" s="958" t="s">
        <v>782</v>
      </c>
    </row>
    <row r="128" spans="1:11" s="952" customFormat="1" ht="24">
      <c r="A128" s="953" t="s">
        <v>4572</v>
      </c>
      <c r="B128" s="966" t="s">
        <v>4269</v>
      </c>
      <c r="C128" s="958" t="s">
        <v>4249</v>
      </c>
      <c r="D128" s="958" t="s">
        <v>782</v>
      </c>
      <c r="E128" s="968">
        <v>789696</v>
      </c>
      <c r="F128" s="1121" t="s">
        <v>782</v>
      </c>
      <c r="G128" s="1116" t="s">
        <v>782</v>
      </c>
      <c r="H128" s="967" t="s">
        <v>4573</v>
      </c>
      <c r="I128" s="958" t="s">
        <v>782</v>
      </c>
      <c r="J128" s="962">
        <v>44950</v>
      </c>
      <c r="K128" s="958" t="s">
        <v>782</v>
      </c>
    </row>
    <row r="129" spans="1:11" s="952" customFormat="1" ht="48">
      <c r="A129" s="953" t="s">
        <v>4574</v>
      </c>
      <c r="B129" s="966" t="s">
        <v>716</v>
      </c>
      <c r="C129" s="958" t="s">
        <v>4249</v>
      </c>
      <c r="D129" s="958" t="s">
        <v>782</v>
      </c>
      <c r="E129" s="968">
        <v>80000</v>
      </c>
      <c r="F129" s="1121" t="s">
        <v>782</v>
      </c>
      <c r="G129" s="1116" t="s">
        <v>782</v>
      </c>
      <c r="H129" s="966" t="s">
        <v>4575</v>
      </c>
      <c r="I129" s="958" t="s">
        <v>782</v>
      </c>
      <c r="J129" s="962">
        <v>44247</v>
      </c>
      <c r="K129" s="958" t="s">
        <v>782</v>
      </c>
    </row>
    <row r="130" spans="1:11" s="952" customFormat="1" ht="36">
      <c r="A130" s="953" t="s">
        <v>4576</v>
      </c>
      <c r="B130" s="966" t="s">
        <v>4304</v>
      </c>
      <c r="C130" s="958" t="s">
        <v>4249</v>
      </c>
      <c r="D130" s="958" t="s">
        <v>782</v>
      </c>
      <c r="E130" s="968">
        <v>271344</v>
      </c>
      <c r="F130" s="1121" t="s">
        <v>782</v>
      </c>
      <c r="G130" s="1116" t="s">
        <v>782</v>
      </c>
      <c r="H130" s="966" t="s">
        <v>4577</v>
      </c>
      <c r="I130" s="958" t="s">
        <v>782</v>
      </c>
      <c r="J130" s="962">
        <v>44527</v>
      </c>
      <c r="K130" s="958" t="s">
        <v>782</v>
      </c>
    </row>
    <row r="131" spans="1:11" s="952" customFormat="1" ht="12.75">
      <c r="A131" s="1151" t="s">
        <v>4584</v>
      </c>
      <c r="B131" s="966"/>
      <c r="C131" s="958"/>
      <c r="D131" s="958"/>
      <c r="E131" s="968"/>
      <c r="F131" s="1121"/>
      <c r="G131" s="1116"/>
      <c r="H131" s="966"/>
      <c r="I131" s="958"/>
      <c r="J131" s="962"/>
      <c r="K131" s="958"/>
    </row>
    <row r="132" spans="1:11" s="952" customFormat="1" ht="36">
      <c r="A132" s="953" t="s">
        <v>4578</v>
      </c>
      <c r="B132" s="966" t="s">
        <v>716</v>
      </c>
      <c r="C132" s="958" t="s">
        <v>4249</v>
      </c>
      <c r="D132" s="958" t="s">
        <v>782</v>
      </c>
      <c r="E132" s="968">
        <v>106005</v>
      </c>
      <c r="F132" s="1121" t="s">
        <v>782</v>
      </c>
      <c r="G132" s="1116" t="s">
        <v>782</v>
      </c>
      <c r="H132" s="966" t="s">
        <v>4579</v>
      </c>
      <c r="I132" s="958" t="s">
        <v>782</v>
      </c>
      <c r="J132" s="962">
        <v>44478</v>
      </c>
      <c r="K132" s="958" t="s">
        <v>782</v>
      </c>
    </row>
    <row r="133" spans="1:11" s="952" customFormat="1" ht="24">
      <c r="A133" s="953" t="s">
        <v>4580</v>
      </c>
      <c r="B133" s="966" t="s">
        <v>4269</v>
      </c>
      <c r="C133" s="958" t="s">
        <v>4249</v>
      </c>
      <c r="D133" s="958" t="s">
        <v>782</v>
      </c>
      <c r="E133" s="968">
        <v>487940.4</v>
      </c>
      <c r="F133" s="1121" t="s">
        <v>782</v>
      </c>
      <c r="G133" s="1116" t="s">
        <v>782</v>
      </c>
      <c r="H133" s="966" t="s">
        <v>4575</v>
      </c>
      <c r="I133" s="958" t="s">
        <v>782</v>
      </c>
      <c r="J133" s="962">
        <v>44866</v>
      </c>
      <c r="K133" s="958" t="s">
        <v>782</v>
      </c>
    </row>
    <row r="134" spans="1:11" s="952" customFormat="1" ht="48">
      <c r="A134" s="953" t="s">
        <v>4581</v>
      </c>
      <c r="B134" s="973" t="s">
        <v>4269</v>
      </c>
      <c r="C134" s="958" t="s">
        <v>4249</v>
      </c>
      <c r="D134" s="958" t="s">
        <v>782</v>
      </c>
      <c r="E134" s="968">
        <v>4127371</v>
      </c>
      <c r="F134" s="1121" t="s">
        <v>782</v>
      </c>
      <c r="G134" s="1116" t="s">
        <v>782</v>
      </c>
      <c r="H134" s="966" t="s">
        <v>4582</v>
      </c>
      <c r="I134" s="958" t="s">
        <v>782</v>
      </c>
      <c r="J134" s="962">
        <v>44256</v>
      </c>
      <c r="K134" s="958" t="s">
        <v>782</v>
      </c>
    </row>
    <row r="135" spans="1:11" s="952" customFormat="1" ht="12">
      <c r="A135" s="1107"/>
      <c r="B135" s="1108"/>
      <c r="C135" s="1109"/>
      <c r="D135" s="1109"/>
      <c r="E135" s="1110"/>
      <c r="F135" s="1110"/>
      <c r="G135" s="1109"/>
      <c r="H135" s="1111"/>
      <c r="I135" s="1109"/>
      <c r="J135" s="1109"/>
      <c r="K135" s="1109"/>
    </row>
    <row r="136" spans="1:11" s="952" customFormat="1" ht="17.25" customHeight="1">
      <c r="A136" s="1044" t="s">
        <v>4676</v>
      </c>
      <c r="B136" s="988"/>
      <c r="C136" s="988"/>
      <c r="D136" s="988"/>
      <c r="E136" s="1152">
        <f>SUM(E137:E170)</f>
        <v>15673038.199999999</v>
      </c>
      <c r="F136" s="1152"/>
      <c r="G136" s="988"/>
      <c r="H136" s="988"/>
      <c r="I136" s="988"/>
      <c r="J136" s="988"/>
      <c r="K136" s="1045"/>
    </row>
    <row r="137" spans="1:11" s="952" customFormat="1" ht="20.25" customHeight="1">
      <c r="A137" s="1137" t="s">
        <v>4803</v>
      </c>
      <c r="B137" s="1127" t="s">
        <v>4503</v>
      </c>
      <c r="C137" s="1128" t="s">
        <v>782</v>
      </c>
      <c r="D137" s="1128" t="s">
        <v>782</v>
      </c>
      <c r="E137" s="1129">
        <v>50000</v>
      </c>
      <c r="F137" s="1128" t="s">
        <v>782</v>
      </c>
      <c r="G137" s="1128" t="s">
        <v>782</v>
      </c>
      <c r="H137" s="1128" t="s">
        <v>782</v>
      </c>
      <c r="I137" s="1128" t="s">
        <v>782</v>
      </c>
      <c r="J137" s="1130">
        <v>44196</v>
      </c>
      <c r="K137" s="1128" t="s">
        <v>782</v>
      </c>
    </row>
    <row r="138" spans="1:11" s="952" customFormat="1" ht="24">
      <c r="A138" s="1138" t="s">
        <v>4840</v>
      </c>
      <c r="B138" s="1127" t="s">
        <v>716</v>
      </c>
      <c r="C138" s="1128" t="s">
        <v>782</v>
      </c>
      <c r="D138" s="1128" t="s">
        <v>782</v>
      </c>
      <c r="E138" s="1131">
        <v>396793.5</v>
      </c>
      <c r="F138" s="1128" t="s">
        <v>782</v>
      </c>
      <c r="G138" s="1128" t="s">
        <v>782</v>
      </c>
      <c r="H138" s="1128" t="s">
        <v>782</v>
      </c>
      <c r="I138" s="1128" t="s">
        <v>782</v>
      </c>
      <c r="J138" s="1130">
        <v>45088</v>
      </c>
      <c r="K138" s="1128" t="s">
        <v>782</v>
      </c>
    </row>
    <row r="139" spans="1:11" s="952" customFormat="1" ht="72">
      <c r="A139" s="1138" t="s">
        <v>4841</v>
      </c>
      <c r="B139" s="1132" t="s">
        <v>4269</v>
      </c>
      <c r="C139" s="1128" t="s">
        <v>782</v>
      </c>
      <c r="D139" s="1128" t="s">
        <v>782</v>
      </c>
      <c r="E139" s="1133">
        <v>1939657.7</v>
      </c>
      <c r="F139" s="1128" t="s">
        <v>782</v>
      </c>
      <c r="G139" s="1128" t="s">
        <v>782</v>
      </c>
      <c r="H139" s="1128" t="s">
        <v>782</v>
      </c>
      <c r="I139" s="1128" t="s">
        <v>782</v>
      </c>
      <c r="J139" s="1130">
        <v>44532</v>
      </c>
      <c r="K139" s="1128" t="s">
        <v>782</v>
      </c>
    </row>
    <row r="140" spans="1:11" s="952" customFormat="1" ht="36">
      <c r="A140" s="1137" t="s">
        <v>4815</v>
      </c>
      <c r="B140" s="1127" t="s">
        <v>4269</v>
      </c>
      <c r="C140" s="1128" t="s">
        <v>782</v>
      </c>
      <c r="D140" s="1128" t="s">
        <v>782</v>
      </c>
      <c r="E140" s="1134">
        <v>498238</v>
      </c>
      <c r="F140" s="1128" t="s">
        <v>782</v>
      </c>
      <c r="G140" s="1128" t="s">
        <v>782</v>
      </c>
      <c r="H140" s="1128" t="s">
        <v>782</v>
      </c>
      <c r="I140" s="1128" t="s">
        <v>782</v>
      </c>
      <c r="J140" s="1130">
        <v>44881</v>
      </c>
      <c r="K140" s="1128" t="s">
        <v>782</v>
      </c>
    </row>
    <row r="141" spans="1:11" s="952" customFormat="1" ht="36">
      <c r="A141" s="1138" t="s">
        <v>4842</v>
      </c>
      <c r="B141" s="1127" t="s">
        <v>4269</v>
      </c>
      <c r="C141" s="1128" t="s">
        <v>782</v>
      </c>
      <c r="D141" s="1128" t="s">
        <v>782</v>
      </c>
      <c r="E141" s="1133">
        <v>1196000</v>
      </c>
      <c r="F141" s="1128" t="s">
        <v>782</v>
      </c>
      <c r="G141" s="1128" t="s">
        <v>782</v>
      </c>
      <c r="H141" s="1128" t="s">
        <v>782</v>
      </c>
      <c r="I141" s="1128" t="s">
        <v>782</v>
      </c>
      <c r="J141" s="1130">
        <v>45631</v>
      </c>
      <c r="K141" s="1128" t="s">
        <v>782</v>
      </c>
    </row>
    <row r="142" spans="1:11" s="952" customFormat="1" ht="36">
      <c r="A142" s="1137" t="s">
        <v>4817</v>
      </c>
      <c r="B142" s="1127" t="s">
        <v>4304</v>
      </c>
      <c r="C142" s="1128" t="s">
        <v>782</v>
      </c>
      <c r="D142" s="1128" t="s">
        <v>782</v>
      </c>
      <c r="E142" s="1134">
        <v>271344</v>
      </c>
      <c r="F142" s="1128" t="s">
        <v>782</v>
      </c>
      <c r="G142" s="1128" t="s">
        <v>782</v>
      </c>
      <c r="H142" s="1128" t="s">
        <v>782</v>
      </c>
      <c r="I142" s="1128" t="s">
        <v>782</v>
      </c>
      <c r="J142" s="1130">
        <v>44892</v>
      </c>
      <c r="K142" s="1128" t="s">
        <v>782</v>
      </c>
    </row>
    <row r="143" spans="1:11" s="952" customFormat="1" ht="36">
      <c r="A143" s="1137" t="s">
        <v>4818</v>
      </c>
      <c r="B143" s="1127" t="s">
        <v>716</v>
      </c>
      <c r="C143" s="1128" t="s">
        <v>782</v>
      </c>
      <c r="D143" s="1128" t="s">
        <v>782</v>
      </c>
      <c r="E143" s="1134">
        <v>106005</v>
      </c>
      <c r="F143" s="1128" t="s">
        <v>782</v>
      </c>
      <c r="G143" s="1128" t="s">
        <v>782</v>
      </c>
      <c r="H143" s="1128" t="s">
        <v>782</v>
      </c>
      <c r="I143" s="1128" t="s">
        <v>782</v>
      </c>
      <c r="J143" s="1130">
        <v>44843</v>
      </c>
      <c r="K143" s="1128" t="s">
        <v>782</v>
      </c>
    </row>
    <row r="144" spans="1:11" s="952" customFormat="1" ht="36">
      <c r="A144" s="1138" t="s">
        <v>4843</v>
      </c>
      <c r="B144" s="1132" t="s">
        <v>4276</v>
      </c>
      <c r="C144" s="1128" t="s">
        <v>782</v>
      </c>
      <c r="D144" s="1128" t="s">
        <v>782</v>
      </c>
      <c r="E144" s="1129">
        <v>350000</v>
      </c>
      <c r="F144" s="1128" t="s">
        <v>782</v>
      </c>
      <c r="G144" s="1128" t="s">
        <v>782</v>
      </c>
      <c r="H144" s="1128" t="s">
        <v>782</v>
      </c>
      <c r="I144" s="1128" t="s">
        <v>782</v>
      </c>
      <c r="J144" s="1130">
        <v>44286</v>
      </c>
      <c r="K144" s="1128" t="s">
        <v>782</v>
      </c>
    </row>
    <row r="145" spans="1:11" s="952" customFormat="1" ht="48">
      <c r="A145" s="1138" t="s">
        <v>4844</v>
      </c>
      <c r="B145" s="1132" t="s">
        <v>4276</v>
      </c>
      <c r="C145" s="1128" t="s">
        <v>782</v>
      </c>
      <c r="D145" s="1128" t="s">
        <v>782</v>
      </c>
      <c r="E145" s="1129">
        <v>128000</v>
      </c>
      <c r="F145" s="1128" t="s">
        <v>782</v>
      </c>
      <c r="G145" s="1128" t="s">
        <v>782</v>
      </c>
      <c r="H145" s="1128" t="s">
        <v>782</v>
      </c>
      <c r="I145" s="1128" t="s">
        <v>782</v>
      </c>
      <c r="J145" s="1130">
        <v>44286</v>
      </c>
      <c r="K145" s="1128" t="s">
        <v>782</v>
      </c>
    </row>
    <row r="146" spans="1:11" s="952" customFormat="1" ht="24">
      <c r="A146" s="1138" t="s">
        <v>4845</v>
      </c>
      <c r="B146" s="1128" t="s">
        <v>574</v>
      </c>
      <c r="C146" s="1128" t="s">
        <v>782</v>
      </c>
      <c r="D146" s="1128" t="s">
        <v>782</v>
      </c>
      <c r="E146" s="1129">
        <v>90000</v>
      </c>
      <c r="F146" s="1128" t="s">
        <v>782</v>
      </c>
      <c r="G146" s="1128" t="s">
        <v>782</v>
      </c>
      <c r="H146" s="1128" t="s">
        <v>782</v>
      </c>
      <c r="I146" s="1128" t="s">
        <v>782</v>
      </c>
      <c r="J146" s="1130">
        <v>44438</v>
      </c>
      <c r="K146" s="1128" t="s">
        <v>782</v>
      </c>
    </row>
    <row r="147" spans="1:11" s="952" customFormat="1" ht="24">
      <c r="A147" s="1138" t="s">
        <v>4846</v>
      </c>
      <c r="B147" s="1128" t="s">
        <v>716</v>
      </c>
      <c r="C147" s="1128" t="s">
        <v>782</v>
      </c>
      <c r="D147" s="1128" t="s">
        <v>782</v>
      </c>
      <c r="E147" s="1129">
        <v>60000</v>
      </c>
      <c r="F147" s="1128" t="s">
        <v>782</v>
      </c>
      <c r="G147" s="1128" t="s">
        <v>782</v>
      </c>
      <c r="H147" s="1128" t="s">
        <v>782</v>
      </c>
      <c r="I147" s="1128" t="s">
        <v>782</v>
      </c>
      <c r="J147" s="1130">
        <v>44438</v>
      </c>
      <c r="K147" s="1128" t="s">
        <v>782</v>
      </c>
    </row>
    <row r="148" spans="1:11" s="952" customFormat="1" ht="24">
      <c r="A148" s="1138" t="s">
        <v>4847</v>
      </c>
      <c r="B148" s="1132" t="s">
        <v>4276</v>
      </c>
      <c r="C148" s="1128" t="s">
        <v>782</v>
      </c>
      <c r="D148" s="1128" t="s">
        <v>782</v>
      </c>
      <c r="E148" s="1129">
        <v>126000</v>
      </c>
      <c r="F148" s="1128" t="s">
        <v>782</v>
      </c>
      <c r="G148" s="1128" t="s">
        <v>782</v>
      </c>
      <c r="H148" s="1128" t="s">
        <v>782</v>
      </c>
      <c r="I148" s="1128" t="s">
        <v>782</v>
      </c>
      <c r="J148" s="1130">
        <v>44560</v>
      </c>
      <c r="K148" s="1128" t="s">
        <v>782</v>
      </c>
    </row>
    <row r="149" spans="1:11" s="952" customFormat="1" ht="24">
      <c r="A149" s="1137" t="s">
        <v>4806</v>
      </c>
      <c r="B149" s="1132" t="s">
        <v>4276</v>
      </c>
      <c r="C149" s="1128" t="s">
        <v>782</v>
      </c>
      <c r="D149" s="1128" t="s">
        <v>782</v>
      </c>
      <c r="E149" s="1129">
        <v>200000</v>
      </c>
      <c r="F149" s="1128" t="s">
        <v>782</v>
      </c>
      <c r="G149" s="1128" t="s">
        <v>782</v>
      </c>
      <c r="H149" s="1128" t="s">
        <v>782</v>
      </c>
      <c r="I149" s="1128" t="s">
        <v>782</v>
      </c>
      <c r="J149" s="1130">
        <v>44560</v>
      </c>
      <c r="K149" s="1128" t="s">
        <v>782</v>
      </c>
    </row>
    <row r="150" spans="1:11" s="952" customFormat="1" ht="24">
      <c r="A150" s="1138" t="s">
        <v>4848</v>
      </c>
      <c r="B150" s="1132" t="s">
        <v>4276</v>
      </c>
      <c r="C150" s="1128" t="s">
        <v>782</v>
      </c>
      <c r="D150" s="1128" t="s">
        <v>782</v>
      </c>
      <c r="E150" s="1129">
        <v>50000</v>
      </c>
      <c r="F150" s="1128" t="s">
        <v>782</v>
      </c>
      <c r="G150" s="1128" t="s">
        <v>782</v>
      </c>
      <c r="H150" s="1128" t="s">
        <v>782</v>
      </c>
      <c r="I150" s="1128" t="s">
        <v>782</v>
      </c>
      <c r="J150" s="1130">
        <v>44560</v>
      </c>
      <c r="K150" s="1128" t="s">
        <v>782</v>
      </c>
    </row>
    <row r="151" spans="1:11" s="952" customFormat="1" ht="24">
      <c r="A151" s="1138" t="s">
        <v>4849</v>
      </c>
      <c r="B151" s="1128" t="s">
        <v>4269</v>
      </c>
      <c r="C151" s="1128" t="s">
        <v>782</v>
      </c>
      <c r="D151" s="1128" t="s">
        <v>782</v>
      </c>
      <c r="E151" s="1129">
        <v>800000</v>
      </c>
      <c r="F151" s="1128" t="s">
        <v>782</v>
      </c>
      <c r="G151" s="1128" t="s">
        <v>782</v>
      </c>
      <c r="H151" s="1128" t="s">
        <v>782</v>
      </c>
      <c r="I151" s="1128" t="s">
        <v>782</v>
      </c>
      <c r="J151" s="1128" t="s">
        <v>782</v>
      </c>
      <c r="K151" s="1128" t="s">
        <v>782</v>
      </c>
    </row>
    <row r="152" spans="1:11" s="952" customFormat="1" ht="48">
      <c r="A152" s="1138" t="s">
        <v>4850</v>
      </c>
      <c r="B152" s="1128" t="s">
        <v>716</v>
      </c>
      <c r="C152" s="1128" t="s">
        <v>782</v>
      </c>
      <c r="D152" s="1128" t="s">
        <v>782</v>
      </c>
      <c r="E152" s="1129">
        <v>120000</v>
      </c>
      <c r="F152" s="1128" t="s">
        <v>782</v>
      </c>
      <c r="G152" s="1128" t="s">
        <v>782</v>
      </c>
      <c r="H152" s="1128" t="s">
        <v>782</v>
      </c>
      <c r="I152" s="1128" t="s">
        <v>782</v>
      </c>
      <c r="J152" s="1128" t="s">
        <v>782</v>
      </c>
      <c r="K152" s="1128" t="s">
        <v>782</v>
      </c>
    </row>
    <row r="153" spans="1:11" s="952" customFormat="1" ht="12.75">
      <c r="A153" s="1151" t="s">
        <v>4584</v>
      </c>
      <c r="B153" s="1128"/>
      <c r="C153" s="1128"/>
      <c r="D153" s="1128"/>
      <c r="E153" s="1129"/>
      <c r="F153" s="1128"/>
      <c r="G153" s="1128"/>
      <c r="H153" s="1128"/>
      <c r="I153" s="1128"/>
      <c r="J153" s="1128"/>
      <c r="K153" s="1128"/>
    </row>
    <row r="154" spans="1:11" s="952" customFormat="1" ht="24">
      <c r="A154" s="1138" t="s">
        <v>4851</v>
      </c>
      <c r="B154" s="1128" t="s">
        <v>4269</v>
      </c>
      <c r="C154" s="1128" t="s">
        <v>782</v>
      </c>
      <c r="D154" s="1128" t="s">
        <v>782</v>
      </c>
      <c r="E154" s="1129">
        <v>7000000</v>
      </c>
      <c r="F154" s="1128" t="s">
        <v>782</v>
      </c>
      <c r="G154" s="1128" t="s">
        <v>782</v>
      </c>
      <c r="H154" s="1128" t="s">
        <v>782</v>
      </c>
      <c r="I154" s="1128" t="s">
        <v>782</v>
      </c>
      <c r="J154" s="1128" t="s">
        <v>782</v>
      </c>
      <c r="K154" s="1128" t="s">
        <v>782</v>
      </c>
    </row>
    <row r="155" spans="1:11" s="952" customFormat="1" ht="48">
      <c r="A155" s="1138" t="s">
        <v>4852</v>
      </c>
      <c r="B155" s="1128" t="s">
        <v>4269</v>
      </c>
      <c r="C155" s="1128" t="s">
        <v>782</v>
      </c>
      <c r="D155" s="1128" t="s">
        <v>782</v>
      </c>
      <c r="E155" s="1129">
        <v>850000</v>
      </c>
      <c r="F155" s="1128" t="s">
        <v>782</v>
      </c>
      <c r="G155" s="1128" t="s">
        <v>782</v>
      </c>
      <c r="H155" s="1128" t="s">
        <v>782</v>
      </c>
      <c r="I155" s="1128" t="s">
        <v>782</v>
      </c>
      <c r="J155" s="1128" t="s">
        <v>782</v>
      </c>
      <c r="K155" s="1128" t="s">
        <v>782</v>
      </c>
    </row>
    <row r="156" spans="1:11" s="952" customFormat="1" ht="36">
      <c r="A156" s="1138" t="s">
        <v>4853</v>
      </c>
      <c r="B156" s="1128" t="s">
        <v>716</v>
      </c>
      <c r="C156" s="1128" t="s">
        <v>782</v>
      </c>
      <c r="D156" s="1128" t="s">
        <v>782</v>
      </c>
      <c r="E156" s="1129">
        <v>60000</v>
      </c>
      <c r="F156" s="1128" t="s">
        <v>782</v>
      </c>
      <c r="G156" s="1128" t="s">
        <v>782</v>
      </c>
      <c r="H156" s="1128" t="s">
        <v>782</v>
      </c>
      <c r="I156" s="1128" t="s">
        <v>782</v>
      </c>
      <c r="J156" s="1128" t="s">
        <v>782</v>
      </c>
      <c r="K156" s="1128" t="s">
        <v>782</v>
      </c>
    </row>
    <row r="157" spans="1:11" s="952" customFormat="1" ht="24">
      <c r="A157" s="1138" t="s">
        <v>4854</v>
      </c>
      <c r="B157" s="1128" t="s">
        <v>4269</v>
      </c>
      <c r="C157" s="1128" t="s">
        <v>782</v>
      </c>
      <c r="D157" s="1128" t="s">
        <v>782</v>
      </c>
      <c r="E157" s="1129">
        <v>420000</v>
      </c>
      <c r="F157" s="1128" t="s">
        <v>782</v>
      </c>
      <c r="G157" s="1128" t="s">
        <v>782</v>
      </c>
      <c r="H157" s="1128" t="s">
        <v>782</v>
      </c>
      <c r="I157" s="1128" t="s">
        <v>782</v>
      </c>
      <c r="J157" s="1128" t="s">
        <v>782</v>
      </c>
      <c r="K157" s="1128" t="s">
        <v>782</v>
      </c>
    </row>
    <row r="158" spans="1:11" s="952" customFormat="1" ht="24">
      <c r="A158" s="1138" t="s">
        <v>4855</v>
      </c>
      <c r="B158" s="1128" t="s">
        <v>716</v>
      </c>
      <c r="C158" s="1128" t="s">
        <v>782</v>
      </c>
      <c r="D158" s="1128" t="s">
        <v>782</v>
      </c>
      <c r="E158" s="1129">
        <v>36000</v>
      </c>
      <c r="F158" s="1128" t="s">
        <v>782</v>
      </c>
      <c r="G158" s="1128" t="s">
        <v>782</v>
      </c>
      <c r="H158" s="1128" t="s">
        <v>782</v>
      </c>
      <c r="I158" s="1128" t="s">
        <v>782</v>
      </c>
      <c r="J158" s="1128" t="s">
        <v>782</v>
      </c>
      <c r="K158" s="1128" t="s">
        <v>782</v>
      </c>
    </row>
    <row r="159" spans="1:11" s="952" customFormat="1" ht="24">
      <c r="A159" s="1138" t="s">
        <v>4856</v>
      </c>
      <c r="B159" s="1128" t="s">
        <v>716</v>
      </c>
      <c r="C159" s="1128" t="s">
        <v>782</v>
      </c>
      <c r="D159" s="1128" t="s">
        <v>782</v>
      </c>
      <c r="E159" s="1129">
        <v>38000</v>
      </c>
      <c r="F159" s="1128" t="s">
        <v>782</v>
      </c>
      <c r="G159" s="1128" t="s">
        <v>782</v>
      </c>
      <c r="H159" s="1128" t="s">
        <v>782</v>
      </c>
      <c r="I159" s="1128" t="s">
        <v>782</v>
      </c>
      <c r="J159" s="1128" t="s">
        <v>782</v>
      </c>
      <c r="K159" s="1128" t="s">
        <v>782</v>
      </c>
    </row>
    <row r="160" spans="1:11" s="952" customFormat="1" ht="24">
      <c r="A160" s="1138" t="s">
        <v>4857</v>
      </c>
      <c r="B160" s="1128" t="s">
        <v>716</v>
      </c>
      <c r="C160" s="1128" t="s">
        <v>782</v>
      </c>
      <c r="D160" s="1128" t="s">
        <v>782</v>
      </c>
      <c r="E160" s="1129">
        <v>36000</v>
      </c>
      <c r="F160" s="1128" t="s">
        <v>782</v>
      </c>
      <c r="G160" s="1128" t="s">
        <v>782</v>
      </c>
      <c r="H160" s="1128" t="s">
        <v>782</v>
      </c>
      <c r="I160" s="1128" t="s">
        <v>782</v>
      </c>
      <c r="J160" s="1128" t="s">
        <v>782</v>
      </c>
      <c r="K160" s="1128" t="s">
        <v>782</v>
      </c>
    </row>
    <row r="161" spans="1:11" s="952" customFormat="1" ht="36">
      <c r="A161" s="1138" t="s">
        <v>4858</v>
      </c>
      <c r="B161" s="1128" t="s">
        <v>716</v>
      </c>
      <c r="C161" s="1128" t="s">
        <v>782</v>
      </c>
      <c r="D161" s="1128" t="s">
        <v>782</v>
      </c>
      <c r="E161" s="1129">
        <v>36000</v>
      </c>
      <c r="F161" s="1128" t="s">
        <v>782</v>
      </c>
      <c r="G161" s="1128" t="s">
        <v>782</v>
      </c>
      <c r="H161" s="1128" t="s">
        <v>782</v>
      </c>
      <c r="I161" s="1128" t="s">
        <v>782</v>
      </c>
      <c r="J161" s="1128" t="s">
        <v>782</v>
      </c>
      <c r="K161" s="1128" t="s">
        <v>782</v>
      </c>
    </row>
    <row r="162" spans="1:11" s="952" customFormat="1" ht="36">
      <c r="A162" s="1138" t="s">
        <v>4859</v>
      </c>
      <c r="B162" s="1128" t="s">
        <v>716</v>
      </c>
      <c r="C162" s="1128" t="s">
        <v>782</v>
      </c>
      <c r="D162" s="1128" t="s">
        <v>782</v>
      </c>
      <c r="E162" s="1129">
        <v>35000</v>
      </c>
      <c r="F162" s="1128" t="s">
        <v>782</v>
      </c>
      <c r="G162" s="1128" t="s">
        <v>782</v>
      </c>
      <c r="H162" s="1128" t="s">
        <v>782</v>
      </c>
      <c r="I162" s="1128" t="s">
        <v>782</v>
      </c>
      <c r="J162" s="1128" t="s">
        <v>782</v>
      </c>
      <c r="K162" s="1128" t="s">
        <v>782</v>
      </c>
    </row>
    <row r="163" spans="1:11" s="952" customFormat="1" ht="36">
      <c r="A163" s="1138" t="s">
        <v>4860</v>
      </c>
      <c r="B163" s="1128" t="s">
        <v>716</v>
      </c>
      <c r="C163" s="1128" t="s">
        <v>782</v>
      </c>
      <c r="D163" s="1128" t="s">
        <v>782</v>
      </c>
      <c r="E163" s="1129">
        <v>34000</v>
      </c>
      <c r="F163" s="1128" t="s">
        <v>782</v>
      </c>
      <c r="G163" s="1128" t="s">
        <v>782</v>
      </c>
      <c r="H163" s="1128" t="s">
        <v>782</v>
      </c>
      <c r="I163" s="1128" t="s">
        <v>782</v>
      </c>
      <c r="J163" s="1128" t="s">
        <v>782</v>
      </c>
      <c r="K163" s="1128" t="s">
        <v>782</v>
      </c>
    </row>
    <row r="164" spans="1:11" s="952" customFormat="1" ht="24">
      <c r="A164" s="1138" t="s">
        <v>4861</v>
      </c>
      <c r="B164" s="1128" t="s">
        <v>716</v>
      </c>
      <c r="C164" s="1128" t="s">
        <v>782</v>
      </c>
      <c r="D164" s="1128" t="s">
        <v>782</v>
      </c>
      <c r="E164" s="1129">
        <v>34000</v>
      </c>
      <c r="F164" s="1128" t="s">
        <v>782</v>
      </c>
      <c r="G164" s="1128" t="s">
        <v>782</v>
      </c>
      <c r="H164" s="1128" t="s">
        <v>782</v>
      </c>
      <c r="I164" s="1128" t="s">
        <v>782</v>
      </c>
      <c r="J164" s="1128" t="s">
        <v>782</v>
      </c>
      <c r="K164" s="1128" t="s">
        <v>782</v>
      </c>
    </row>
    <row r="165" spans="1:11" s="952" customFormat="1" ht="36">
      <c r="A165" s="1138" t="s">
        <v>4862</v>
      </c>
      <c r="B165" s="1128" t="s">
        <v>716</v>
      </c>
      <c r="C165" s="1128" t="s">
        <v>782</v>
      </c>
      <c r="D165" s="1128" t="s">
        <v>782</v>
      </c>
      <c r="E165" s="1129">
        <v>34000</v>
      </c>
      <c r="F165" s="1128" t="s">
        <v>782</v>
      </c>
      <c r="G165" s="1128" t="s">
        <v>782</v>
      </c>
      <c r="H165" s="1128" t="s">
        <v>782</v>
      </c>
      <c r="I165" s="1128" t="s">
        <v>782</v>
      </c>
      <c r="J165" s="1128" t="s">
        <v>782</v>
      </c>
      <c r="K165" s="1128" t="s">
        <v>782</v>
      </c>
    </row>
    <row r="166" spans="1:11" s="952" customFormat="1" ht="72">
      <c r="A166" s="1138" t="s">
        <v>4863</v>
      </c>
      <c r="B166" s="1128" t="s">
        <v>716</v>
      </c>
      <c r="C166" s="1128" t="s">
        <v>782</v>
      </c>
      <c r="D166" s="1128" t="s">
        <v>782</v>
      </c>
      <c r="E166" s="1129">
        <v>34000</v>
      </c>
      <c r="F166" s="1128" t="s">
        <v>782</v>
      </c>
      <c r="G166" s="1128" t="s">
        <v>782</v>
      </c>
      <c r="H166" s="1128" t="s">
        <v>782</v>
      </c>
      <c r="I166" s="1128" t="s">
        <v>782</v>
      </c>
      <c r="J166" s="1128" t="s">
        <v>782</v>
      </c>
      <c r="K166" s="1128" t="s">
        <v>782</v>
      </c>
    </row>
    <row r="167" spans="1:11" s="952" customFormat="1" ht="36">
      <c r="A167" s="1138" t="s">
        <v>4864</v>
      </c>
      <c r="B167" s="1128" t="s">
        <v>716</v>
      </c>
      <c r="C167" s="1128" t="s">
        <v>782</v>
      </c>
      <c r="D167" s="1128" t="s">
        <v>782</v>
      </c>
      <c r="E167" s="1129">
        <v>34000</v>
      </c>
      <c r="F167" s="1128" t="s">
        <v>782</v>
      </c>
      <c r="G167" s="1128" t="s">
        <v>782</v>
      </c>
      <c r="H167" s="1128" t="s">
        <v>782</v>
      </c>
      <c r="I167" s="1128" t="s">
        <v>782</v>
      </c>
      <c r="J167" s="1128" t="s">
        <v>782</v>
      </c>
      <c r="K167" s="1128" t="s">
        <v>782</v>
      </c>
    </row>
    <row r="168" spans="1:11" s="952" customFormat="1" ht="36">
      <c r="A168" s="1138" t="s">
        <v>4865</v>
      </c>
      <c r="B168" s="1128" t="s">
        <v>716</v>
      </c>
      <c r="C168" s="1128" t="s">
        <v>782</v>
      </c>
      <c r="D168" s="1128" t="s">
        <v>782</v>
      </c>
      <c r="E168" s="1129">
        <v>210000</v>
      </c>
      <c r="F168" s="1128" t="s">
        <v>782</v>
      </c>
      <c r="G168" s="1128" t="s">
        <v>782</v>
      </c>
      <c r="H168" s="1128" t="s">
        <v>782</v>
      </c>
      <c r="I168" s="1128" t="s">
        <v>782</v>
      </c>
      <c r="J168" s="1128" t="s">
        <v>782</v>
      </c>
      <c r="K168" s="1128" t="s">
        <v>782</v>
      </c>
    </row>
    <row r="169" spans="1:11" s="952" customFormat="1" ht="60">
      <c r="A169" s="1138" t="s">
        <v>4866</v>
      </c>
      <c r="B169" s="1128" t="s">
        <v>716</v>
      </c>
      <c r="C169" s="1128" t="s">
        <v>782</v>
      </c>
      <c r="D169" s="1128" t="s">
        <v>782</v>
      </c>
      <c r="E169" s="1129">
        <v>300000</v>
      </c>
      <c r="F169" s="1128" t="s">
        <v>782</v>
      </c>
      <c r="G169" s="1128" t="s">
        <v>782</v>
      </c>
      <c r="H169" s="1128" t="s">
        <v>782</v>
      </c>
      <c r="I169" s="1128" t="s">
        <v>782</v>
      </c>
      <c r="J169" s="1128" t="s">
        <v>782</v>
      </c>
      <c r="K169" s="1128" t="s">
        <v>782</v>
      </c>
    </row>
    <row r="170" spans="1:11" s="952" customFormat="1" ht="48">
      <c r="A170" s="1137" t="s">
        <v>4816</v>
      </c>
      <c r="B170" s="1128" t="s">
        <v>716</v>
      </c>
      <c r="C170" s="1128" t="s">
        <v>782</v>
      </c>
      <c r="D170" s="1128" t="s">
        <v>782</v>
      </c>
      <c r="E170" s="1135">
        <v>100000</v>
      </c>
      <c r="F170" s="1128" t="s">
        <v>782</v>
      </c>
      <c r="G170" s="1128" t="s">
        <v>782</v>
      </c>
      <c r="H170" s="1128" t="s">
        <v>782</v>
      </c>
      <c r="I170" s="1128" t="s">
        <v>782</v>
      </c>
      <c r="J170" s="1136">
        <v>44876</v>
      </c>
      <c r="K170" s="1128" t="s">
        <v>782</v>
      </c>
    </row>
    <row r="171" spans="1:11" s="952" customFormat="1" ht="12">
      <c r="A171" s="1139"/>
      <c r="B171" s="1140"/>
      <c r="C171" s="1140"/>
      <c r="D171" s="1140"/>
      <c r="E171" s="1141"/>
      <c r="F171" s="1140"/>
      <c r="G171" s="1140"/>
      <c r="H171" s="1140"/>
      <c r="I171" s="1140"/>
      <c r="J171" s="1142"/>
      <c r="K171" s="1143"/>
    </row>
    <row r="172" spans="1:11" s="952" customFormat="1" ht="12">
      <c r="A172" s="1139"/>
      <c r="B172" s="1140"/>
      <c r="C172" s="1140"/>
      <c r="D172" s="1140"/>
      <c r="E172" s="1141"/>
      <c r="F172" s="1140"/>
      <c r="G172" s="1140"/>
      <c r="H172" s="1140"/>
      <c r="I172" s="1140"/>
      <c r="J172" s="1142"/>
      <c r="K172" s="1143"/>
    </row>
    <row r="173" spans="1:11" s="952" customFormat="1" ht="15" customHeight="1">
      <c r="A173" s="1038" t="s">
        <v>3197</v>
      </c>
      <c r="B173" s="976"/>
      <c r="C173" s="976"/>
      <c r="D173" s="976"/>
      <c r="E173" s="976"/>
      <c r="F173" s="976"/>
      <c r="G173" s="976"/>
      <c r="H173" s="976"/>
      <c r="I173" s="976"/>
      <c r="J173" s="976"/>
      <c r="K173" s="977"/>
    </row>
    <row r="174" spans="1:11" s="952" customFormat="1" ht="14.1" customHeight="1">
      <c r="A174" s="1153" t="s">
        <v>4585</v>
      </c>
      <c r="B174" s="980"/>
      <c r="C174" s="980"/>
      <c r="D174" s="980"/>
      <c r="E174" s="980"/>
      <c r="F174" s="980"/>
      <c r="G174" s="980"/>
      <c r="H174" s="981"/>
      <c r="I174" s="981"/>
      <c r="J174" s="981"/>
      <c r="K174" s="994"/>
    </row>
    <row r="175" spans="1:11" s="952" customFormat="1" ht="20.100000000000001" customHeight="1">
      <c r="A175" s="987" t="s">
        <v>4644</v>
      </c>
      <c r="B175" s="990"/>
      <c r="C175" s="965"/>
      <c r="D175" s="965"/>
      <c r="E175" s="1097">
        <f>SUM(E176:E195)</f>
        <v>8937806.0500000007</v>
      </c>
      <c r="F175" s="1097"/>
      <c r="G175" s="965"/>
      <c r="H175" s="965"/>
      <c r="I175" s="965"/>
      <c r="J175" s="965"/>
      <c r="K175" s="986"/>
    </row>
    <row r="176" spans="1:11" s="952" customFormat="1" ht="96">
      <c r="A176" s="995" t="s">
        <v>4586</v>
      </c>
      <c r="B176" s="1000" t="s">
        <v>4269</v>
      </c>
      <c r="C176" s="1001" t="s">
        <v>4587</v>
      </c>
      <c r="D176" s="1002" t="s">
        <v>4588</v>
      </c>
      <c r="E176" s="1003"/>
      <c r="F176" s="1003"/>
      <c r="G176" s="1002" t="s">
        <v>4589</v>
      </c>
      <c r="H176" s="1002" t="s">
        <v>4590</v>
      </c>
      <c r="I176" s="982">
        <v>43536</v>
      </c>
      <c r="J176" s="1004">
        <v>43716</v>
      </c>
      <c r="K176" s="1000" t="s">
        <v>782</v>
      </c>
    </row>
    <row r="177" spans="1:11" s="952" customFormat="1" ht="72">
      <c r="A177" s="996" t="s">
        <v>4591</v>
      </c>
      <c r="B177" s="1000" t="s">
        <v>4269</v>
      </c>
      <c r="C177" s="1001" t="s">
        <v>4587</v>
      </c>
      <c r="D177" s="1002" t="s">
        <v>4592</v>
      </c>
      <c r="E177" s="1003">
        <v>1100276.3799999999</v>
      </c>
      <c r="F177" s="1003"/>
      <c r="G177" s="1005" t="s">
        <v>4593</v>
      </c>
      <c r="H177" s="1002" t="s">
        <v>4590</v>
      </c>
      <c r="I177" s="982">
        <v>43677</v>
      </c>
      <c r="J177" s="1004">
        <v>43857</v>
      </c>
      <c r="K177" s="1000" t="s">
        <v>782</v>
      </c>
    </row>
    <row r="178" spans="1:11" s="952" customFormat="1" ht="36">
      <c r="A178" s="996" t="s">
        <v>4594</v>
      </c>
      <c r="B178" s="1000" t="s">
        <v>4269</v>
      </c>
      <c r="C178" s="1001" t="s">
        <v>4587</v>
      </c>
      <c r="D178" s="1002" t="s">
        <v>4595</v>
      </c>
      <c r="E178" s="1006">
        <v>1014806.25</v>
      </c>
      <c r="F178" s="1006"/>
      <c r="G178" s="1005" t="s">
        <v>4596</v>
      </c>
      <c r="H178" s="1002" t="s">
        <v>4590</v>
      </c>
      <c r="I178" s="983">
        <v>43762</v>
      </c>
      <c r="J178" s="1004">
        <v>43942</v>
      </c>
      <c r="K178" s="1000" t="s">
        <v>782</v>
      </c>
    </row>
    <row r="179" spans="1:11" s="952" customFormat="1" ht="36">
      <c r="A179" s="997" t="s">
        <v>4597</v>
      </c>
      <c r="B179" s="1000" t="s">
        <v>4269</v>
      </c>
      <c r="C179" s="1001" t="s">
        <v>4587</v>
      </c>
      <c r="D179" s="1002" t="s">
        <v>4598</v>
      </c>
      <c r="E179" s="1003">
        <v>948346.94</v>
      </c>
      <c r="F179" s="1003"/>
      <c r="G179" s="1002" t="s">
        <v>4599</v>
      </c>
      <c r="H179" s="1002" t="s">
        <v>4590</v>
      </c>
      <c r="I179" s="982">
        <v>43546</v>
      </c>
      <c r="J179" s="1004">
        <v>43726</v>
      </c>
      <c r="K179" s="1000" t="s">
        <v>782</v>
      </c>
    </row>
    <row r="180" spans="1:11" s="952" customFormat="1" ht="36">
      <c r="A180" s="997" t="s">
        <v>4600</v>
      </c>
      <c r="B180" s="1000" t="s">
        <v>4269</v>
      </c>
      <c r="C180" s="1001" t="s">
        <v>4587</v>
      </c>
      <c r="D180" s="1002" t="s">
        <v>4601</v>
      </c>
      <c r="E180" s="1003">
        <v>899274</v>
      </c>
      <c r="F180" s="1003"/>
      <c r="G180" s="1002" t="s">
        <v>4602</v>
      </c>
      <c r="H180" s="1002" t="s">
        <v>4590</v>
      </c>
      <c r="I180" s="982">
        <v>43572</v>
      </c>
      <c r="J180" s="1004">
        <v>43752</v>
      </c>
      <c r="K180" s="1000" t="s">
        <v>782</v>
      </c>
    </row>
    <row r="181" spans="1:11" s="952" customFormat="1" ht="48">
      <c r="A181" s="995" t="s">
        <v>4603</v>
      </c>
      <c r="B181" s="1000" t="s">
        <v>4269</v>
      </c>
      <c r="C181" s="1001" t="s">
        <v>4587</v>
      </c>
      <c r="D181" s="1002" t="s">
        <v>4604</v>
      </c>
      <c r="E181" s="1007">
        <v>742509.47</v>
      </c>
      <c r="F181" s="1007"/>
      <c r="G181" s="1002" t="s">
        <v>4605</v>
      </c>
      <c r="H181" s="1002" t="s">
        <v>4590</v>
      </c>
      <c r="I181" s="984">
        <v>43515</v>
      </c>
      <c r="J181" s="1004">
        <v>43695</v>
      </c>
      <c r="K181" s="1000" t="s">
        <v>782</v>
      </c>
    </row>
    <row r="182" spans="1:11" s="952" customFormat="1" ht="48">
      <c r="A182" s="997" t="s">
        <v>4606</v>
      </c>
      <c r="B182" s="1000" t="s">
        <v>4269</v>
      </c>
      <c r="C182" s="1001" t="s">
        <v>4587</v>
      </c>
      <c r="D182" s="1002" t="s">
        <v>4607</v>
      </c>
      <c r="E182" s="1008">
        <v>593826.29</v>
      </c>
      <c r="F182" s="1008"/>
      <c r="G182" s="1002" t="s">
        <v>4608</v>
      </c>
      <c r="H182" s="1002" t="s">
        <v>4590</v>
      </c>
      <c r="I182" s="982">
        <v>43564</v>
      </c>
      <c r="J182" s="1004">
        <v>43744</v>
      </c>
      <c r="K182" s="1000" t="s">
        <v>782</v>
      </c>
    </row>
    <row r="183" spans="1:11" s="952" customFormat="1" ht="48">
      <c r="A183" s="997" t="s">
        <v>4609</v>
      </c>
      <c r="B183" s="1000" t="s">
        <v>4269</v>
      </c>
      <c r="C183" s="1001" t="s">
        <v>4587</v>
      </c>
      <c r="D183" s="1002" t="s">
        <v>4610</v>
      </c>
      <c r="E183" s="1008">
        <v>570582.16</v>
      </c>
      <c r="F183" s="1008"/>
      <c r="G183" s="1002" t="s">
        <v>4611</v>
      </c>
      <c r="H183" s="1002" t="s">
        <v>4590</v>
      </c>
      <c r="I183" s="983">
        <v>43783</v>
      </c>
      <c r="J183" s="1004">
        <v>43963</v>
      </c>
      <c r="K183" s="1000" t="s">
        <v>782</v>
      </c>
    </row>
    <row r="184" spans="1:11" s="952" customFormat="1" ht="60">
      <c r="A184" s="997" t="s">
        <v>4612</v>
      </c>
      <c r="B184" s="1000" t="s">
        <v>4269</v>
      </c>
      <c r="C184" s="1001" t="s">
        <v>4587</v>
      </c>
      <c r="D184" s="1002" t="s">
        <v>4613</v>
      </c>
      <c r="E184" s="1003">
        <v>568827.63</v>
      </c>
      <c r="F184" s="1003"/>
      <c r="G184" s="1002" t="s">
        <v>4614</v>
      </c>
      <c r="H184" s="1002" t="s">
        <v>4590</v>
      </c>
      <c r="I184" s="1009">
        <v>43552</v>
      </c>
      <c r="J184" s="1004">
        <v>43732</v>
      </c>
      <c r="K184" s="1000" t="s">
        <v>782</v>
      </c>
    </row>
    <row r="185" spans="1:11" s="952" customFormat="1" ht="60">
      <c r="A185" s="995" t="s">
        <v>4615</v>
      </c>
      <c r="B185" s="1000" t="s">
        <v>4269</v>
      </c>
      <c r="C185" s="1001" t="s">
        <v>4587</v>
      </c>
      <c r="D185" s="1002" t="s">
        <v>4616</v>
      </c>
      <c r="E185" s="1010">
        <v>540000</v>
      </c>
      <c r="F185" s="1010"/>
      <c r="G185" s="1002" t="s">
        <v>4617</v>
      </c>
      <c r="H185" s="1002" t="s">
        <v>4590</v>
      </c>
      <c r="I185" s="984">
        <v>43507</v>
      </c>
      <c r="J185" s="1004">
        <v>43687</v>
      </c>
      <c r="K185" s="1000" t="s">
        <v>782</v>
      </c>
    </row>
    <row r="186" spans="1:11" s="952" customFormat="1" ht="72">
      <c r="A186" s="995" t="s">
        <v>4618</v>
      </c>
      <c r="B186" s="1000" t="s">
        <v>4269</v>
      </c>
      <c r="C186" s="1001" t="s">
        <v>4587</v>
      </c>
      <c r="D186" s="1002" t="s">
        <v>4619</v>
      </c>
      <c r="E186" s="1007">
        <v>506339.03</v>
      </c>
      <c r="F186" s="1007"/>
      <c r="G186" s="1011" t="s">
        <v>4620</v>
      </c>
      <c r="H186" s="1002" t="s">
        <v>4590</v>
      </c>
      <c r="I186" s="985">
        <v>43524</v>
      </c>
      <c r="J186" s="1004">
        <v>43704</v>
      </c>
      <c r="K186" s="1000" t="s">
        <v>782</v>
      </c>
    </row>
    <row r="187" spans="1:11" s="952" customFormat="1" ht="17.25" customHeight="1">
      <c r="A187" s="1153" t="s">
        <v>4585</v>
      </c>
      <c r="B187" s="1000"/>
      <c r="C187" s="1001"/>
      <c r="D187" s="1002"/>
      <c r="E187" s="1007"/>
      <c r="F187" s="1007"/>
      <c r="G187" s="1011"/>
      <c r="H187" s="1002"/>
      <c r="I187" s="985"/>
      <c r="J187" s="1004"/>
      <c r="K187" s="1000"/>
    </row>
    <row r="188" spans="1:11" s="952" customFormat="1" ht="48">
      <c r="A188" s="997" t="s">
        <v>4621</v>
      </c>
      <c r="B188" s="955" t="s">
        <v>716</v>
      </c>
      <c r="C188" s="1001" t="s">
        <v>4587</v>
      </c>
      <c r="D188" s="1002" t="s">
        <v>4622</v>
      </c>
      <c r="E188" s="1006">
        <v>400112.71</v>
      </c>
      <c r="F188" s="1006"/>
      <c r="G188" s="1002" t="s">
        <v>4623</v>
      </c>
      <c r="H188" s="1002" t="s">
        <v>4590</v>
      </c>
      <c r="I188" s="982">
        <v>43719</v>
      </c>
      <c r="J188" s="1004">
        <v>43899</v>
      </c>
      <c r="K188" s="1000" t="s">
        <v>782</v>
      </c>
    </row>
    <row r="189" spans="1:11" s="952" customFormat="1" ht="36">
      <c r="A189" s="997" t="s">
        <v>4624</v>
      </c>
      <c r="B189" s="955" t="s">
        <v>716</v>
      </c>
      <c r="C189" s="1001" t="s">
        <v>4587</v>
      </c>
      <c r="D189" s="1002" t="s">
        <v>4625</v>
      </c>
      <c r="E189" s="1012">
        <v>355112.18</v>
      </c>
      <c r="F189" s="1012"/>
      <c r="G189" s="1002" t="s">
        <v>4626</v>
      </c>
      <c r="H189" s="1002" t="s">
        <v>4590</v>
      </c>
      <c r="I189" s="982">
        <v>43808</v>
      </c>
      <c r="J189" s="1004">
        <v>43988</v>
      </c>
      <c r="K189" s="1000" t="s">
        <v>782</v>
      </c>
    </row>
    <row r="190" spans="1:11" s="952" customFormat="1" ht="36">
      <c r="A190" s="998" t="s">
        <v>4627</v>
      </c>
      <c r="B190" s="955" t="s">
        <v>716</v>
      </c>
      <c r="C190" s="1001" t="s">
        <v>4587</v>
      </c>
      <c r="D190" s="1002" t="s">
        <v>4628</v>
      </c>
      <c r="E190" s="1007">
        <v>194500</v>
      </c>
      <c r="F190" s="1007"/>
      <c r="G190" s="1002" t="s">
        <v>4629</v>
      </c>
      <c r="H190" s="1002" t="s">
        <v>4590</v>
      </c>
      <c r="I190" s="984">
        <v>43475</v>
      </c>
      <c r="J190" s="1004">
        <v>43655</v>
      </c>
      <c r="K190" s="1000" t="s">
        <v>782</v>
      </c>
    </row>
    <row r="191" spans="1:11" s="952" customFormat="1" ht="24">
      <c r="A191" s="999" t="s">
        <v>4630</v>
      </c>
      <c r="B191" s="955" t="s">
        <v>716</v>
      </c>
      <c r="C191" s="1001" t="s">
        <v>4587</v>
      </c>
      <c r="D191" s="1002" t="s">
        <v>4631</v>
      </c>
      <c r="E191" s="1003">
        <v>180225.85</v>
      </c>
      <c r="F191" s="1003"/>
      <c r="G191" s="1002" t="s">
        <v>4632</v>
      </c>
      <c r="H191" s="1002" t="s">
        <v>4590</v>
      </c>
      <c r="I191" s="984">
        <v>43518</v>
      </c>
      <c r="J191" s="1004">
        <v>43698</v>
      </c>
      <c r="K191" s="1000" t="s">
        <v>782</v>
      </c>
    </row>
    <row r="192" spans="1:11" s="952" customFormat="1" ht="36">
      <c r="A192" s="996" t="s">
        <v>4633</v>
      </c>
      <c r="B192" s="955" t="s">
        <v>716</v>
      </c>
      <c r="C192" s="1001" t="s">
        <v>4587</v>
      </c>
      <c r="D192" s="1002" t="s">
        <v>4634</v>
      </c>
      <c r="E192" s="1006">
        <v>107896.88</v>
      </c>
      <c r="F192" s="1006"/>
      <c r="G192" s="1005" t="s">
        <v>4635</v>
      </c>
      <c r="H192" s="1002" t="s">
        <v>4590</v>
      </c>
      <c r="I192" s="982">
        <v>43609</v>
      </c>
      <c r="J192" s="1004">
        <v>43789</v>
      </c>
      <c r="K192" s="1000" t="s">
        <v>782</v>
      </c>
    </row>
    <row r="193" spans="1:11" s="952" customFormat="1" ht="36">
      <c r="A193" s="996" t="s">
        <v>4636</v>
      </c>
      <c r="B193" s="955" t="s">
        <v>716</v>
      </c>
      <c r="C193" s="1001" t="s">
        <v>4587</v>
      </c>
      <c r="D193" s="1002" t="s">
        <v>4637</v>
      </c>
      <c r="E193" s="1006">
        <v>85174.88</v>
      </c>
      <c r="F193" s="1006"/>
      <c r="G193" s="1005" t="s">
        <v>4635</v>
      </c>
      <c r="H193" s="1002" t="s">
        <v>4590</v>
      </c>
      <c r="I193" s="982">
        <v>43636</v>
      </c>
      <c r="J193" s="1004">
        <v>43816</v>
      </c>
      <c r="K193" s="1000" t="s">
        <v>782</v>
      </c>
    </row>
    <row r="194" spans="1:11" s="952" customFormat="1" ht="48">
      <c r="A194" s="995" t="s">
        <v>4638</v>
      </c>
      <c r="B194" s="955" t="s">
        <v>716</v>
      </c>
      <c r="C194" s="1001" t="s">
        <v>4587</v>
      </c>
      <c r="D194" s="1002" t="s">
        <v>4639</v>
      </c>
      <c r="E194" s="1007">
        <v>67804</v>
      </c>
      <c r="F194" s="1007"/>
      <c r="G194" s="1002" t="s">
        <v>4640</v>
      </c>
      <c r="H194" s="1002" t="s">
        <v>4590</v>
      </c>
      <c r="I194" s="984">
        <v>43495</v>
      </c>
      <c r="J194" s="1004">
        <v>43675</v>
      </c>
      <c r="K194" s="1000" t="s">
        <v>782</v>
      </c>
    </row>
    <row r="195" spans="1:11" s="952" customFormat="1" ht="60">
      <c r="A195" s="995" t="s">
        <v>4641</v>
      </c>
      <c r="B195" s="955" t="s">
        <v>716</v>
      </c>
      <c r="C195" s="1001" t="s">
        <v>4587</v>
      </c>
      <c r="D195" s="1002" t="s">
        <v>4642</v>
      </c>
      <c r="E195" s="1013">
        <v>62191.4</v>
      </c>
      <c r="F195" s="1013"/>
      <c r="G195" s="1014" t="s">
        <v>4643</v>
      </c>
      <c r="H195" s="1014" t="s">
        <v>4590</v>
      </c>
      <c r="I195" s="985">
        <v>43483</v>
      </c>
      <c r="J195" s="1015">
        <v>43663</v>
      </c>
      <c r="K195" s="1016" t="s">
        <v>782</v>
      </c>
    </row>
    <row r="196" spans="1:11" s="952" customFormat="1" ht="12">
      <c r="A196" s="992"/>
      <c r="B196" s="978"/>
      <c r="C196" s="978"/>
      <c r="D196" s="978"/>
      <c r="E196" s="1098"/>
      <c r="F196" s="1098"/>
      <c r="G196" s="1098"/>
      <c r="H196" s="979"/>
      <c r="I196" s="979"/>
      <c r="J196" s="979"/>
      <c r="K196" s="993"/>
    </row>
    <row r="197" spans="1:11" s="952" customFormat="1" ht="16.5" customHeight="1">
      <c r="A197" s="1044" t="s">
        <v>4583</v>
      </c>
      <c r="B197" s="988"/>
      <c r="C197" s="988"/>
      <c r="D197" s="988"/>
      <c r="E197" s="1099">
        <f>SUM(E198:E208)</f>
        <v>3008375.57</v>
      </c>
      <c r="F197" s="1099"/>
      <c r="G197" s="988"/>
      <c r="H197" s="988"/>
      <c r="I197" s="988"/>
      <c r="J197" s="988"/>
      <c r="K197" s="1045"/>
    </row>
    <row r="198" spans="1:11" s="952" customFormat="1" ht="60">
      <c r="A198" s="1017" t="s">
        <v>4645</v>
      </c>
      <c r="B198" s="1000" t="s">
        <v>616</v>
      </c>
      <c r="C198" s="1001" t="s">
        <v>4587</v>
      </c>
      <c r="D198" s="1002" t="s">
        <v>4646</v>
      </c>
      <c r="E198" s="1007">
        <v>620160.26</v>
      </c>
      <c r="F198" s="1007"/>
      <c r="G198" s="1002" t="s">
        <v>4647</v>
      </c>
      <c r="H198" s="1002" t="s">
        <v>4590</v>
      </c>
      <c r="I198" s="1018">
        <v>43839</v>
      </c>
      <c r="J198" s="1019">
        <v>44019</v>
      </c>
      <c r="K198" s="1000" t="s">
        <v>782</v>
      </c>
    </row>
    <row r="199" spans="1:11" s="952" customFormat="1" ht="48">
      <c r="A199" s="1020" t="s">
        <v>4648</v>
      </c>
      <c r="B199" s="1000" t="s">
        <v>616</v>
      </c>
      <c r="C199" s="1001" t="s">
        <v>4587</v>
      </c>
      <c r="D199" s="1002" t="s">
        <v>4649</v>
      </c>
      <c r="E199" s="1021">
        <v>480430.81</v>
      </c>
      <c r="F199" s="1021"/>
      <c r="G199" s="1002" t="s">
        <v>4650</v>
      </c>
      <c r="H199" s="1002" t="s">
        <v>4590</v>
      </c>
      <c r="I199" s="1018">
        <v>43857</v>
      </c>
      <c r="J199" s="1019">
        <v>44037</v>
      </c>
      <c r="K199" s="1000" t="s">
        <v>782</v>
      </c>
    </row>
    <row r="200" spans="1:11" s="952" customFormat="1" ht="48">
      <c r="A200" s="1020" t="s">
        <v>4651</v>
      </c>
      <c r="B200" s="955" t="s">
        <v>581</v>
      </c>
      <c r="C200" s="1001" t="s">
        <v>4587</v>
      </c>
      <c r="D200" s="1002" t="s">
        <v>4652</v>
      </c>
      <c r="E200" s="1007">
        <v>397285.1</v>
      </c>
      <c r="F200" s="1007"/>
      <c r="G200" s="1002" t="s">
        <v>4653</v>
      </c>
      <c r="H200" s="1002" t="s">
        <v>4590</v>
      </c>
      <c r="I200" s="1018">
        <v>43874</v>
      </c>
      <c r="J200" s="1019">
        <v>44054</v>
      </c>
      <c r="K200" s="1000" t="s">
        <v>782</v>
      </c>
    </row>
    <row r="201" spans="1:11" s="952" customFormat="1" ht="48">
      <c r="A201" s="1020" t="s">
        <v>4654</v>
      </c>
      <c r="B201" s="955" t="s">
        <v>581</v>
      </c>
      <c r="C201" s="1001" t="s">
        <v>4587</v>
      </c>
      <c r="D201" s="1002" t="s">
        <v>4655</v>
      </c>
      <c r="E201" s="1022">
        <v>360000</v>
      </c>
      <c r="F201" s="1022"/>
      <c r="G201" s="1002" t="s">
        <v>4656</v>
      </c>
      <c r="H201" s="1002" t="s">
        <v>4590</v>
      </c>
      <c r="I201" s="1018">
        <v>43887</v>
      </c>
      <c r="J201" s="1019">
        <v>44067</v>
      </c>
      <c r="K201" s="1000" t="s">
        <v>782</v>
      </c>
    </row>
    <row r="202" spans="1:11" s="952" customFormat="1" ht="36">
      <c r="A202" s="1020" t="s">
        <v>4657</v>
      </c>
      <c r="B202" s="955" t="s">
        <v>581</v>
      </c>
      <c r="C202" s="1001" t="s">
        <v>4587</v>
      </c>
      <c r="D202" s="1002" t="s">
        <v>4658</v>
      </c>
      <c r="E202" s="1010">
        <v>228025.29</v>
      </c>
      <c r="F202" s="1010"/>
      <c r="G202" s="1002" t="s">
        <v>4659</v>
      </c>
      <c r="H202" s="1002" t="s">
        <v>4590</v>
      </c>
      <c r="I202" s="1018">
        <v>43879</v>
      </c>
      <c r="J202" s="1019">
        <v>44059</v>
      </c>
      <c r="K202" s="1000" t="s">
        <v>782</v>
      </c>
    </row>
    <row r="203" spans="1:11" s="952" customFormat="1" ht="36">
      <c r="A203" s="1020" t="s">
        <v>4660</v>
      </c>
      <c r="B203" s="955" t="s">
        <v>581</v>
      </c>
      <c r="C203" s="1001" t="s">
        <v>4587</v>
      </c>
      <c r="D203" s="1002" t="s">
        <v>4661</v>
      </c>
      <c r="E203" s="1003">
        <v>221601.53</v>
      </c>
      <c r="F203" s="1003"/>
      <c r="G203" s="1002" t="s">
        <v>4662</v>
      </c>
      <c r="H203" s="1002" t="s">
        <v>4590</v>
      </c>
      <c r="I203" s="1018">
        <v>43901</v>
      </c>
      <c r="J203" s="1019">
        <v>44081</v>
      </c>
      <c r="K203" s="1000" t="s">
        <v>782</v>
      </c>
    </row>
    <row r="204" spans="1:11" s="952" customFormat="1" ht="15.75" customHeight="1">
      <c r="A204" s="1153" t="s">
        <v>4585</v>
      </c>
      <c r="B204" s="955"/>
      <c r="C204" s="1001"/>
      <c r="D204" s="1002"/>
      <c r="E204" s="1003"/>
      <c r="F204" s="1003"/>
      <c r="G204" s="1002"/>
      <c r="H204" s="1002"/>
      <c r="I204" s="1018"/>
      <c r="J204" s="1019"/>
      <c r="K204" s="1000"/>
    </row>
    <row r="205" spans="1:11" s="952" customFormat="1" ht="60">
      <c r="A205" s="1023" t="s">
        <v>4663</v>
      </c>
      <c r="B205" s="955" t="s">
        <v>581</v>
      </c>
      <c r="C205" s="1001" t="s">
        <v>4587</v>
      </c>
      <c r="D205" s="1002" t="s">
        <v>4664</v>
      </c>
      <c r="E205" s="1003">
        <v>199855.35</v>
      </c>
      <c r="F205" s="1003"/>
      <c r="G205" s="1002" t="s">
        <v>4653</v>
      </c>
      <c r="H205" s="1002" t="s">
        <v>4590</v>
      </c>
      <c r="I205" s="1018">
        <v>43887</v>
      </c>
      <c r="J205" s="1019">
        <v>44067</v>
      </c>
      <c r="K205" s="1000" t="s">
        <v>782</v>
      </c>
    </row>
    <row r="206" spans="1:11" s="952" customFormat="1" ht="72">
      <c r="A206" s="1020" t="s">
        <v>4665</v>
      </c>
      <c r="B206" s="955" t="s">
        <v>581</v>
      </c>
      <c r="C206" s="1001" t="s">
        <v>4587</v>
      </c>
      <c r="D206" s="1002" t="s">
        <v>4666</v>
      </c>
      <c r="E206" s="1003">
        <v>192451.33</v>
      </c>
      <c r="F206" s="1003"/>
      <c r="G206" s="1002" t="s">
        <v>4662</v>
      </c>
      <c r="H206" s="1002" t="s">
        <v>4590</v>
      </c>
      <c r="I206" s="1018">
        <v>43888</v>
      </c>
      <c r="J206" s="1019">
        <v>44068</v>
      </c>
      <c r="K206" s="1000" t="s">
        <v>782</v>
      </c>
    </row>
    <row r="207" spans="1:11" s="952" customFormat="1" ht="60">
      <c r="A207" s="1020" t="s">
        <v>4667</v>
      </c>
      <c r="B207" s="955" t="s">
        <v>581</v>
      </c>
      <c r="C207" s="1001" t="s">
        <v>4587</v>
      </c>
      <c r="D207" s="1002" t="s">
        <v>4668</v>
      </c>
      <c r="E207" s="1003">
        <v>189870.9</v>
      </c>
      <c r="F207" s="1003"/>
      <c r="G207" s="1002" t="s">
        <v>4669</v>
      </c>
      <c r="H207" s="1002" t="s">
        <v>4590</v>
      </c>
      <c r="I207" s="1018">
        <v>43902</v>
      </c>
      <c r="J207" s="1019">
        <v>44082</v>
      </c>
      <c r="K207" s="1000" t="s">
        <v>782</v>
      </c>
    </row>
    <row r="208" spans="1:11" s="952" customFormat="1" ht="48">
      <c r="A208" s="1020" t="s">
        <v>4670</v>
      </c>
      <c r="B208" s="955" t="s">
        <v>581</v>
      </c>
      <c r="C208" s="1001" t="s">
        <v>4587</v>
      </c>
      <c r="D208" s="1002" t="s">
        <v>4671</v>
      </c>
      <c r="E208" s="1010">
        <v>118695</v>
      </c>
      <c r="F208" s="1010"/>
      <c r="G208" s="1002" t="s">
        <v>4672</v>
      </c>
      <c r="H208" s="1002" t="s">
        <v>4590</v>
      </c>
      <c r="I208" s="984"/>
      <c r="J208" s="1024"/>
      <c r="K208" s="1000" t="s">
        <v>782</v>
      </c>
    </row>
    <row r="209" spans="1:11" s="952" customFormat="1" ht="20.25" customHeight="1">
      <c r="A209" s="1044" t="s">
        <v>4676</v>
      </c>
      <c r="B209" s="988"/>
      <c r="C209" s="988"/>
      <c r="D209" s="988"/>
      <c r="E209" s="1099">
        <f>SUM(E210:E213)</f>
        <v>0</v>
      </c>
      <c r="F209" s="1099"/>
      <c r="G209" s="988"/>
      <c r="H209" s="988"/>
      <c r="I209" s="988"/>
      <c r="J209" s="988"/>
      <c r="K209" s="1045"/>
    </row>
    <row r="210" spans="1:11" s="952" customFormat="1" ht="36">
      <c r="A210" s="1020" t="s">
        <v>4797</v>
      </c>
      <c r="B210" s="955" t="s">
        <v>716</v>
      </c>
      <c r="C210" s="1001" t="s">
        <v>4587</v>
      </c>
      <c r="D210" s="1001" t="s">
        <v>4587</v>
      </c>
      <c r="E210" s="1001" t="s">
        <v>4587</v>
      </c>
      <c r="F210" s="1001"/>
      <c r="G210" s="1001" t="s">
        <v>4587</v>
      </c>
      <c r="H210" s="1001" t="s">
        <v>4798</v>
      </c>
      <c r="I210" s="1001" t="s">
        <v>4587</v>
      </c>
      <c r="J210" s="1001" t="s">
        <v>4587</v>
      </c>
      <c r="K210" s="1112" t="s">
        <v>4587</v>
      </c>
    </row>
    <row r="211" spans="1:11" s="952" customFormat="1" ht="36">
      <c r="A211" s="1020" t="s">
        <v>4799</v>
      </c>
      <c r="B211" s="955" t="s">
        <v>716</v>
      </c>
      <c r="C211" s="1001" t="s">
        <v>4587</v>
      </c>
      <c r="D211" s="1001" t="s">
        <v>4587</v>
      </c>
      <c r="E211" s="1001" t="s">
        <v>4587</v>
      </c>
      <c r="F211" s="1001"/>
      <c r="G211" s="1001" t="s">
        <v>4587</v>
      </c>
      <c r="H211" s="1001" t="s">
        <v>4798</v>
      </c>
      <c r="I211" s="1001" t="s">
        <v>4587</v>
      </c>
      <c r="J211" s="1001" t="s">
        <v>4587</v>
      </c>
      <c r="K211" s="1112" t="s">
        <v>4587</v>
      </c>
    </row>
    <row r="212" spans="1:11" s="952" customFormat="1" ht="48">
      <c r="A212" s="1020" t="s">
        <v>4800</v>
      </c>
      <c r="B212" s="955" t="s">
        <v>581</v>
      </c>
      <c r="C212" s="1001" t="s">
        <v>4587</v>
      </c>
      <c r="D212" s="1001" t="s">
        <v>4587</v>
      </c>
      <c r="E212" s="1001" t="s">
        <v>4587</v>
      </c>
      <c r="F212" s="1001"/>
      <c r="G212" s="1001" t="s">
        <v>4587</v>
      </c>
      <c r="H212" s="1001" t="s">
        <v>4798</v>
      </c>
      <c r="I212" s="1001" t="s">
        <v>4587</v>
      </c>
      <c r="J212" s="1001" t="s">
        <v>4587</v>
      </c>
      <c r="K212" s="1112" t="s">
        <v>4587</v>
      </c>
    </row>
    <row r="213" spans="1:11" s="952" customFormat="1" ht="48">
      <c r="A213" s="1020" t="s">
        <v>4801</v>
      </c>
      <c r="B213" s="1000" t="s">
        <v>4269</v>
      </c>
      <c r="C213" s="1001" t="s">
        <v>4587</v>
      </c>
      <c r="D213" s="1001" t="s">
        <v>4587</v>
      </c>
      <c r="E213" s="1001" t="s">
        <v>4587</v>
      </c>
      <c r="F213" s="1001"/>
      <c r="G213" s="1001" t="s">
        <v>4587</v>
      </c>
      <c r="H213" s="1001" t="s">
        <v>4798</v>
      </c>
      <c r="I213" s="1001" t="s">
        <v>4587</v>
      </c>
      <c r="J213" s="1001" t="s">
        <v>4587</v>
      </c>
      <c r="K213" s="1112" t="s">
        <v>4587</v>
      </c>
    </row>
    <row r="214" spans="1:11" s="952" customFormat="1" ht="12">
      <c r="A214" s="1025"/>
      <c r="B214" s="1026"/>
      <c r="C214" s="1027"/>
      <c r="D214" s="1028"/>
      <c r="E214" s="1028"/>
      <c r="F214" s="1028"/>
      <c r="G214" s="1028"/>
      <c r="H214" s="1028"/>
      <c r="I214" s="1029"/>
      <c r="J214" s="1030"/>
      <c r="K214" s="1031"/>
    </row>
    <row r="215" spans="1:11" s="952" customFormat="1" ht="18" customHeight="1">
      <c r="A215" s="1032" t="s">
        <v>4674</v>
      </c>
      <c r="B215" s="1032"/>
      <c r="C215" s="1032"/>
      <c r="D215" s="1032"/>
      <c r="E215" s="991">
        <f>+E197+E175+E98+E7+E209+E136</f>
        <v>95734978.580000013</v>
      </c>
      <c r="F215" s="991"/>
      <c r="G215" s="1032"/>
      <c r="H215" s="1033"/>
      <c r="I215" s="1033"/>
      <c r="J215" s="1033"/>
      <c r="K215" s="1033"/>
    </row>
    <row r="216" spans="1:11">
      <c r="A216" s="1035"/>
      <c r="B216" s="1035"/>
      <c r="C216" s="1035"/>
      <c r="D216" s="1035"/>
      <c r="E216" s="1035"/>
      <c r="F216" s="1035"/>
      <c r="G216" s="1035"/>
      <c r="H216" s="1036"/>
      <c r="I216" s="1037"/>
      <c r="J216" s="1037"/>
      <c r="K216" s="1037"/>
    </row>
    <row r="217" spans="1:11" s="952" customFormat="1" ht="15">
      <c r="A217" s="1038" t="s">
        <v>4677</v>
      </c>
      <c r="B217" s="976"/>
      <c r="C217" s="976"/>
      <c r="D217" s="976"/>
      <c r="E217" s="976"/>
      <c r="F217" s="976"/>
      <c r="G217" s="976"/>
      <c r="H217" s="976"/>
      <c r="I217" s="976"/>
      <c r="J217" s="976"/>
      <c r="K217" s="977"/>
    </row>
    <row r="218" spans="1:11" s="952" customFormat="1" ht="19.5" customHeight="1">
      <c r="A218" s="1068" t="s">
        <v>4644</v>
      </c>
      <c r="B218" s="990"/>
      <c r="C218" s="990"/>
      <c r="D218" s="990"/>
      <c r="E218" s="1092">
        <f>SUM(E219:E239)</f>
        <v>8952662.6399999987</v>
      </c>
      <c r="F218" s="1092"/>
      <c r="G218" s="990"/>
      <c r="H218" s="990"/>
      <c r="I218" s="990"/>
      <c r="J218" s="990"/>
      <c r="K218" s="1069"/>
    </row>
    <row r="219" spans="1:11" s="952" customFormat="1" ht="24">
      <c r="A219" s="1020" t="s">
        <v>4678</v>
      </c>
      <c r="B219" s="1071" t="s">
        <v>616</v>
      </c>
      <c r="C219" s="1000" t="s">
        <v>4249</v>
      </c>
      <c r="D219" s="1072" t="s">
        <v>4679</v>
      </c>
      <c r="E219" s="1073">
        <v>1735587.59</v>
      </c>
      <c r="F219" s="1073"/>
      <c r="G219" s="1070" t="s">
        <v>4680</v>
      </c>
      <c r="H219" s="1078" t="s">
        <v>4681</v>
      </c>
      <c r="I219" s="1075">
        <v>43738</v>
      </c>
      <c r="J219" s="1075"/>
      <c r="K219" s="1000" t="s">
        <v>2964</v>
      </c>
    </row>
    <row r="220" spans="1:11" ht="24">
      <c r="A220" s="1020" t="s">
        <v>4682</v>
      </c>
      <c r="B220" s="1071" t="s">
        <v>616</v>
      </c>
      <c r="C220" s="1000" t="s">
        <v>4249</v>
      </c>
      <c r="D220" s="1072" t="s">
        <v>4679</v>
      </c>
      <c r="E220" s="1073">
        <v>1538440.04</v>
      </c>
      <c r="F220" s="1073"/>
      <c r="G220" s="1070" t="s">
        <v>4680</v>
      </c>
      <c r="H220" s="1078" t="s">
        <v>4681</v>
      </c>
      <c r="I220" s="1075">
        <v>43738</v>
      </c>
      <c r="J220" s="1075"/>
      <c r="K220" s="1000" t="s">
        <v>2858</v>
      </c>
    </row>
    <row r="221" spans="1:11" ht="24">
      <c r="A221" s="1020" t="s">
        <v>4683</v>
      </c>
      <c r="B221" s="1071" t="s">
        <v>4684</v>
      </c>
      <c r="C221" s="1000" t="s">
        <v>4249</v>
      </c>
      <c r="D221" s="1072" t="s">
        <v>4685</v>
      </c>
      <c r="E221" s="1073">
        <v>925449.6</v>
      </c>
      <c r="F221" s="1073"/>
      <c r="G221" s="1070" t="s">
        <v>4686</v>
      </c>
      <c r="H221" s="1078" t="s">
        <v>4687</v>
      </c>
      <c r="I221" s="1075">
        <v>43545</v>
      </c>
      <c r="J221" s="1075">
        <v>43581</v>
      </c>
      <c r="K221" s="1000" t="s">
        <v>2964</v>
      </c>
    </row>
    <row r="222" spans="1:11" ht="24">
      <c r="A222" s="1020" t="s">
        <v>4688</v>
      </c>
      <c r="B222" s="1070" t="s">
        <v>716</v>
      </c>
      <c r="C222" s="1000" t="s">
        <v>4249</v>
      </c>
      <c r="D222" s="1072" t="s">
        <v>4689</v>
      </c>
      <c r="E222" s="1073">
        <v>837674.8</v>
      </c>
      <c r="F222" s="1073"/>
      <c r="G222" s="1070" t="s">
        <v>4690</v>
      </c>
      <c r="H222" s="1078" t="s">
        <v>4687</v>
      </c>
      <c r="I222" s="1075">
        <v>43788</v>
      </c>
      <c r="J222" s="1075">
        <v>43880</v>
      </c>
      <c r="K222" s="1000" t="s">
        <v>2964</v>
      </c>
    </row>
    <row r="223" spans="1:11" ht="17.25" customHeight="1">
      <c r="A223" s="1020" t="s">
        <v>4691</v>
      </c>
      <c r="B223" s="1070"/>
      <c r="C223" s="1000" t="s">
        <v>4692</v>
      </c>
      <c r="D223" s="1072"/>
      <c r="E223" s="1073">
        <v>755000</v>
      </c>
      <c r="F223" s="1073"/>
      <c r="G223" s="1070"/>
      <c r="H223" s="1078" t="s">
        <v>4693</v>
      </c>
      <c r="I223" s="1000"/>
      <c r="J223" s="1000"/>
      <c r="K223" s="1000" t="s">
        <v>2858</v>
      </c>
    </row>
    <row r="224" spans="1:11" ht="96">
      <c r="A224" s="1020" t="s">
        <v>4694</v>
      </c>
      <c r="B224" s="1071" t="s">
        <v>616</v>
      </c>
      <c r="C224" s="1000" t="s">
        <v>4249</v>
      </c>
      <c r="D224" s="1072" t="s">
        <v>4695</v>
      </c>
      <c r="E224" s="1073">
        <v>696305.61</v>
      </c>
      <c r="F224" s="1073"/>
      <c r="G224" s="1070" t="s">
        <v>1261</v>
      </c>
      <c r="H224" s="1078" t="s">
        <v>4681</v>
      </c>
      <c r="I224" s="1075">
        <v>44118</v>
      </c>
      <c r="J224" s="1000"/>
      <c r="K224" s="1000" t="s">
        <v>2964</v>
      </c>
    </row>
    <row r="225" spans="1:11" ht="72">
      <c r="A225" s="1020" t="s">
        <v>4696</v>
      </c>
      <c r="B225" s="1071" t="s">
        <v>616</v>
      </c>
      <c r="C225" s="1000" t="s">
        <v>4249</v>
      </c>
      <c r="D225" s="1072" t="s">
        <v>4697</v>
      </c>
      <c r="E225" s="1073">
        <v>455996.25</v>
      </c>
      <c r="F225" s="1073"/>
      <c r="G225" s="1070" t="s">
        <v>4698</v>
      </c>
      <c r="H225" s="1078"/>
      <c r="I225" s="1000"/>
      <c r="J225" s="1000"/>
      <c r="K225" s="1000" t="s">
        <v>2964</v>
      </c>
    </row>
    <row r="226" spans="1:11" ht="24">
      <c r="A226" s="1020" t="s">
        <v>4699</v>
      </c>
      <c r="B226" s="1070" t="s">
        <v>716</v>
      </c>
      <c r="C226" s="1000" t="s">
        <v>4249</v>
      </c>
      <c r="D226" s="1072" t="s">
        <v>4700</v>
      </c>
      <c r="E226" s="1073">
        <v>628443.67000000004</v>
      </c>
      <c r="F226" s="1073"/>
      <c r="G226" s="1070" t="s">
        <v>4701</v>
      </c>
      <c r="H226" s="1078" t="s">
        <v>4687</v>
      </c>
      <c r="I226" s="1075">
        <v>43766</v>
      </c>
      <c r="J226" s="1075">
        <v>43858</v>
      </c>
      <c r="K226" s="1000" t="s">
        <v>2964</v>
      </c>
    </row>
    <row r="227" spans="1:11" ht="36">
      <c r="A227" s="1020" t="s">
        <v>4702</v>
      </c>
      <c r="B227" s="1071" t="s">
        <v>716</v>
      </c>
      <c r="C227" s="1000" t="s">
        <v>4249</v>
      </c>
      <c r="D227" s="1072" t="s">
        <v>4703</v>
      </c>
      <c r="E227" s="1073">
        <v>217294.3</v>
      </c>
      <c r="F227" s="1073"/>
      <c r="G227" s="1070" t="s">
        <v>4704</v>
      </c>
      <c r="H227" s="1078" t="s">
        <v>4687</v>
      </c>
      <c r="I227" s="1075">
        <v>43845</v>
      </c>
      <c r="J227" s="1075">
        <v>43905</v>
      </c>
      <c r="K227" s="1000" t="s">
        <v>2964</v>
      </c>
    </row>
    <row r="228" spans="1:11" ht="36">
      <c r="A228" s="1020" t="s">
        <v>4705</v>
      </c>
      <c r="B228" s="1071" t="s">
        <v>716</v>
      </c>
      <c r="C228" s="1000" t="s">
        <v>4249</v>
      </c>
      <c r="D228" s="1072" t="s">
        <v>4706</v>
      </c>
      <c r="E228" s="1073">
        <v>216724.8</v>
      </c>
      <c r="F228" s="1073"/>
      <c r="G228" s="1070" t="s">
        <v>4707</v>
      </c>
      <c r="H228" s="1078" t="s">
        <v>4687</v>
      </c>
      <c r="I228" s="1075">
        <v>43655</v>
      </c>
      <c r="J228" s="1075">
        <v>43747</v>
      </c>
      <c r="K228" s="1000" t="s">
        <v>2964</v>
      </c>
    </row>
    <row r="229" spans="1:11" ht="24">
      <c r="A229" s="1020" t="s">
        <v>4708</v>
      </c>
      <c r="B229" s="1071" t="s">
        <v>716</v>
      </c>
      <c r="C229" s="1000" t="s">
        <v>4249</v>
      </c>
      <c r="D229" s="1072" t="s">
        <v>4709</v>
      </c>
      <c r="E229" s="1073">
        <v>172890.78</v>
      </c>
      <c r="F229" s="1073"/>
      <c r="G229" s="1070" t="s">
        <v>4710</v>
      </c>
      <c r="H229" s="1078" t="s">
        <v>4681</v>
      </c>
      <c r="I229" s="1075">
        <v>43495</v>
      </c>
      <c r="J229" s="1075">
        <v>44591</v>
      </c>
      <c r="K229" s="1000" t="s">
        <v>1402</v>
      </c>
    </row>
    <row r="230" spans="1:11" ht="60">
      <c r="A230" s="1020" t="s">
        <v>4711</v>
      </c>
      <c r="B230" s="1071" t="s">
        <v>716</v>
      </c>
      <c r="C230" s="1000" t="s">
        <v>4249</v>
      </c>
      <c r="D230" s="1072" t="s">
        <v>4712</v>
      </c>
      <c r="E230" s="1073">
        <v>111749.87</v>
      </c>
      <c r="F230" s="1073"/>
      <c r="G230" s="1070" t="s">
        <v>4713</v>
      </c>
      <c r="H230" s="1078" t="s">
        <v>4687</v>
      </c>
      <c r="I230" s="1075">
        <v>43713</v>
      </c>
      <c r="J230" s="1075">
        <v>43758</v>
      </c>
      <c r="K230" s="1000" t="s">
        <v>2964</v>
      </c>
    </row>
    <row r="231" spans="1:11" ht="36">
      <c r="A231" s="1020" t="s">
        <v>4714</v>
      </c>
      <c r="B231" s="1071" t="s">
        <v>716</v>
      </c>
      <c r="C231" s="1000" t="s">
        <v>4249</v>
      </c>
      <c r="D231" s="1072" t="s">
        <v>4715</v>
      </c>
      <c r="E231" s="1073">
        <v>108736</v>
      </c>
      <c r="F231" s="1073"/>
      <c r="G231" s="1070" t="s">
        <v>4716</v>
      </c>
      <c r="H231" s="1078" t="s">
        <v>4687</v>
      </c>
      <c r="I231" s="1075">
        <v>43636</v>
      </c>
      <c r="J231" s="1075">
        <v>43666</v>
      </c>
      <c r="K231" s="1000" t="s">
        <v>2964</v>
      </c>
    </row>
    <row r="232" spans="1:11" ht="48">
      <c r="A232" s="1020" t="s">
        <v>4717</v>
      </c>
      <c r="B232" s="1071" t="s">
        <v>716</v>
      </c>
      <c r="C232" s="1000" t="s">
        <v>4249</v>
      </c>
      <c r="D232" s="1072" t="s">
        <v>4718</v>
      </c>
      <c r="E232" s="1073">
        <v>96437.13</v>
      </c>
      <c r="F232" s="1073"/>
      <c r="G232" s="1070" t="s">
        <v>4719</v>
      </c>
      <c r="H232" s="1078" t="s">
        <v>4687</v>
      </c>
      <c r="I232" s="1075">
        <v>43713</v>
      </c>
      <c r="J232" s="1075">
        <v>43759</v>
      </c>
      <c r="K232" s="1000" t="s">
        <v>2964</v>
      </c>
    </row>
    <row r="233" spans="1:11" ht="36">
      <c r="A233" s="1020" t="s">
        <v>4720</v>
      </c>
      <c r="B233" s="1071" t="s">
        <v>716</v>
      </c>
      <c r="C233" s="1000" t="s">
        <v>4249</v>
      </c>
      <c r="D233" s="1072" t="s">
        <v>4721</v>
      </c>
      <c r="E233" s="1073">
        <v>92608</v>
      </c>
      <c r="F233" s="1073"/>
      <c r="G233" s="1070" t="s">
        <v>4722</v>
      </c>
      <c r="H233" s="1078" t="s">
        <v>4687</v>
      </c>
      <c r="I233" s="1075">
        <v>43609</v>
      </c>
      <c r="J233" s="1075">
        <v>43654</v>
      </c>
      <c r="K233" s="1000" t="s">
        <v>2964</v>
      </c>
    </row>
    <row r="234" spans="1:11" ht="24">
      <c r="A234" s="1020" t="s">
        <v>4723</v>
      </c>
      <c r="B234" s="1071" t="s">
        <v>599</v>
      </c>
      <c r="C234" s="1000" t="s">
        <v>4249</v>
      </c>
      <c r="D234" s="1072" t="s">
        <v>4724</v>
      </c>
      <c r="E234" s="1073">
        <v>90979.199999999997</v>
      </c>
      <c r="F234" s="1073"/>
      <c r="G234" s="1070" t="s">
        <v>4725</v>
      </c>
      <c r="H234" s="1078" t="s">
        <v>4687</v>
      </c>
      <c r="I234" s="1000"/>
      <c r="J234" s="1000"/>
      <c r="K234" s="1000" t="s">
        <v>2964</v>
      </c>
    </row>
    <row r="235" spans="1:11" ht="24">
      <c r="A235" s="1020" t="s">
        <v>4726</v>
      </c>
      <c r="B235" s="1071" t="s">
        <v>716</v>
      </c>
      <c r="C235" s="1000" t="s">
        <v>4249</v>
      </c>
      <c r="D235" s="1072" t="s">
        <v>4727</v>
      </c>
      <c r="E235" s="1073">
        <v>72570</v>
      </c>
      <c r="F235" s="1073"/>
      <c r="G235" s="1070" t="s">
        <v>4728</v>
      </c>
      <c r="H235" s="1078" t="s">
        <v>4687</v>
      </c>
      <c r="I235" s="1075">
        <v>43598</v>
      </c>
      <c r="J235" s="1075">
        <v>43659</v>
      </c>
      <c r="K235" s="1000" t="s">
        <v>2964</v>
      </c>
    </row>
    <row r="236" spans="1:11" ht="16.5" customHeight="1">
      <c r="A236" s="1038" t="s">
        <v>4677</v>
      </c>
      <c r="B236" s="1071"/>
      <c r="C236" s="1000"/>
      <c r="D236" s="1072"/>
      <c r="E236" s="1073"/>
      <c r="F236" s="1073"/>
      <c r="G236" s="1070"/>
      <c r="H236" s="1078"/>
      <c r="I236" s="1075"/>
      <c r="J236" s="1075"/>
      <c r="K236" s="1000"/>
    </row>
    <row r="237" spans="1:11" ht="60">
      <c r="A237" s="1020" t="s">
        <v>4729</v>
      </c>
      <c r="B237" s="1071" t="s">
        <v>716</v>
      </c>
      <c r="C237" s="1000" t="s">
        <v>4249</v>
      </c>
      <c r="D237" s="1072" t="s">
        <v>4730</v>
      </c>
      <c r="E237" s="1073">
        <v>71500</v>
      </c>
      <c r="F237" s="1073"/>
      <c r="G237" s="1070" t="s">
        <v>4731</v>
      </c>
      <c r="H237" s="1078" t="s">
        <v>4687</v>
      </c>
      <c r="I237" s="1075">
        <v>43607</v>
      </c>
      <c r="J237" s="1075">
        <v>43668</v>
      </c>
      <c r="K237" s="1000" t="s">
        <v>2964</v>
      </c>
    </row>
    <row r="238" spans="1:11" ht="18" customHeight="1">
      <c r="A238" s="1020" t="s">
        <v>4732</v>
      </c>
      <c r="B238" s="1070"/>
      <c r="C238" s="1000" t="s">
        <v>4692</v>
      </c>
      <c r="D238" s="1072"/>
      <c r="E238" s="1073">
        <v>70000</v>
      </c>
      <c r="F238" s="1073"/>
      <c r="G238" s="1070" t="s">
        <v>4733</v>
      </c>
      <c r="H238" s="1078" t="s">
        <v>4687</v>
      </c>
      <c r="I238" s="1000"/>
      <c r="J238" s="1000"/>
      <c r="K238" s="1000" t="s">
        <v>1402</v>
      </c>
    </row>
    <row r="239" spans="1:11" ht="24">
      <c r="A239" s="1020" t="s">
        <v>4734</v>
      </c>
      <c r="B239" s="1071" t="s">
        <v>599</v>
      </c>
      <c r="C239" s="1000" t="s">
        <v>4249</v>
      </c>
      <c r="D239" s="1072" t="s">
        <v>4735</v>
      </c>
      <c r="E239" s="1073">
        <v>58275</v>
      </c>
      <c r="F239" s="1073"/>
      <c r="G239" s="1070" t="s">
        <v>4736</v>
      </c>
      <c r="H239" s="1078" t="s">
        <v>4687</v>
      </c>
      <c r="I239" s="1075">
        <v>43592</v>
      </c>
      <c r="J239" s="1075">
        <v>43623</v>
      </c>
      <c r="K239" s="1000" t="s">
        <v>1402</v>
      </c>
    </row>
    <row r="240" spans="1:11">
      <c r="A240" s="1076"/>
      <c r="B240" s="1077"/>
      <c r="C240" s="1077"/>
      <c r="D240" s="1077"/>
      <c r="E240" s="1077"/>
      <c r="F240" s="1077"/>
      <c r="G240" s="1077"/>
      <c r="H240" s="1079"/>
      <c r="I240" s="1077"/>
      <c r="J240" s="1077"/>
      <c r="K240" s="1077"/>
    </row>
    <row r="241" spans="1:11" ht="17.25" customHeight="1">
      <c r="A241" s="1068" t="s">
        <v>4583</v>
      </c>
      <c r="B241" s="990"/>
      <c r="C241" s="990"/>
      <c r="D241" s="990"/>
      <c r="E241" s="1093">
        <f>SUM(E242:E262)</f>
        <v>10464078</v>
      </c>
      <c r="F241" s="1093"/>
      <c r="G241" s="990"/>
      <c r="H241" s="990"/>
      <c r="I241" s="990"/>
      <c r="J241" s="990"/>
      <c r="K241" s="1069"/>
    </row>
    <row r="242" spans="1:11" ht="36">
      <c r="A242" s="1020" t="s">
        <v>4737</v>
      </c>
      <c r="B242" s="1070" t="s">
        <v>4738</v>
      </c>
      <c r="C242" s="1000" t="s">
        <v>4249</v>
      </c>
      <c r="D242" s="1072"/>
      <c r="E242" s="1080">
        <v>56556.22</v>
      </c>
      <c r="F242" s="1080"/>
      <c r="G242" s="1080"/>
      <c r="H242" s="1083"/>
      <c r="I242" s="1074"/>
      <c r="J242" s="1074"/>
      <c r="K242" s="1000" t="s">
        <v>2964</v>
      </c>
    </row>
    <row r="243" spans="1:11" ht="48">
      <c r="A243" s="1020" t="s">
        <v>4739</v>
      </c>
      <c r="B243" s="1070" t="s">
        <v>4738</v>
      </c>
      <c r="C243" s="1000" t="s">
        <v>4249</v>
      </c>
      <c r="D243" s="1072"/>
      <c r="E243" s="1080">
        <v>55165</v>
      </c>
      <c r="F243" s="1080"/>
      <c r="G243" s="1080"/>
      <c r="H243" s="1083"/>
      <c r="I243" s="1074"/>
      <c r="J243" s="1074"/>
      <c r="K243" s="1000" t="s">
        <v>4740</v>
      </c>
    </row>
    <row r="244" spans="1:11" ht="25.5">
      <c r="A244" s="1020" t="s">
        <v>4741</v>
      </c>
      <c r="B244" s="1070" t="s">
        <v>4742</v>
      </c>
      <c r="C244" s="1000" t="s">
        <v>4249</v>
      </c>
      <c r="D244" s="1081" t="s">
        <v>4743</v>
      </c>
      <c r="E244" s="1080"/>
      <c r="F244" s="1080"/>
      <c r="G244" s="1080"/>
      <c r="H244" s="1083" t="s">
        <v>4744</v>
      </c>
      <c r="I244" s="1074"/>
      <c r="J244" s="1074"/>
      <c r="K244" s="1000" t="s">
        <v>4740</v>
      </c>
    </row>
    <row r="245" spans="1:11" ht="18" customHeight="1">
      <c r="A245" s="1020" t="s">
        <v>4745</v>
      </c>
      <c r="B245" s="1070" t="s">
        <v>4742</v>
      </c>
      <c r="C245" s="1000" t="s">
        <v>4249</v>
      </c>
      <c r="D245" s="1072"/>
      <c r="E245" s="1080">
        <v>2042574</v>
      </c>
      <c r="F245" s="1080"/>
      <c r="G245" s="1080"/>
      <c r="H245" s="1083"/>
      <c r="I245" s="1074"/>
      <c r="J245" s="1074"/>
      <c r="K245" s="1000" t="s">
        <v>4740</v>
      </c>
    </row>
    <row r="246" spans="1:11" ht="18" customHeight="1">
      <c r="A246" s="1020" t="s">
        <v>4746</v>
      </c>
      <c r="B246" s="1070" t="s">
        <v>4742</v>
      </c>
      <c r="C246" s="1000" t="s">
        <v>4249</v>
      </c>
      <c r="D246" s="1072"/>
      <c r="E246" s="1080">
        <v>1000000</v>
      </c>
      <c r="F246" s="1080"/>
      <c r="G246" s="1080"/>
      <c r="H246" s="1083"/>
      <c r="I246" s="1074"/>
      <c r="J246" s="1074"/>
      <c r="K246" s="1000" t="s">
        <v>1402</v>
      </c>
    </row>
    <row r="247" spans="1:11" ht="24">
      <c r="A247" s="1020" t="s">
        <v>4747</v>
      </c>
      <c r="B247" s="1070" t="s">
        <v>4748</v>
      </c>
      <c r="C247" s="1000"/>
      <c r="D247" s="1072"/>
      <c r="E247" s="1080">
        <v>78665.19</v>
      </c>
      <c r="F247" s="1080"/>
      <c r="G247" s="1080"/>
      <c r="H247" s="1083"/>
      <c r="I247" s="1074"/>
      <c r="J247" s="1074"/>
      <c r="K247" s="1000" t="s">
        <v>4740</v>
      </c>
    </row>
    <row r="248" spans="1:11" ht="24">
      <c r="A248" s="1020" t="s">
        <v>4749</v>
      </c>
      <c r="B248" s="1070" t="s">
        <v>4748</v>
      </c>
      <c r="C248" s="1000"/>
      <c r="D248" s="1072"/>
      <c r="E248" s="1080">
        <v>58000</v>
      </c>
      <c r="F248" s="1080"/>
      <c r="G248" s="1080"/>
      <c r="H248" s="1083"/>
      <c r="I248" s="1074"/>
      <c r="J248" s="1074"/>
      <c r="K248" s="1000" t="s">
        <v>4740</v>
      </c>
    </row>
    <row r="249" spans="1:11" ht="48">
      <c r="A249" s="1020" t="s">
        <v>4750</v>
      </c>
      <c r="B249" s="1070" t="s">
        <v>4742</v>
      </c>
      <c r="C249" s="1000" t="s">
        <v>4249</v>
      </c>
      <c r="D249" s="1072"/>
      <c r="E249" s="1080">
        <v>2548800</v>
      </c>
      <c r="F249" s="1080"/>
      <c r="G249" s="1080"/>
      <c r="H249" s="1083"/>
      <c r="I249" s="1074"/>
      <c r="J249" s="1074"/>
      <c r="K249" s="1000" t="s">
        <v>2858</v>
      </c>
    </row>
    <row r="250" spans="1:11" ht="24">
      <c r="A250" s="1020" t="s">
        <v>4751</v>
      </c>
      <c r="B250" s="1070" t="s">
        <v>4738</v>
      </c>
      <c r="C250" s="1000" t="s">
        <v>4249</v>
      </c>
      <c r="D250" s="1072"/>
      <c r="E250" s="1080">
        <v>395553</v>
      </c>
      <c r="F250" s="1080"/>
      <c r="G250" s="1080"/>
      <c r="H250" s="1083"/>
      <c r="I250" s="1074"/>
      <c r="J250" s="1074"/>
      <c r="K250" s="1000" t="s">
        <v>2964</v>
      </c>
    </row>
    <row r="251" spans="1:11" ht="25.5">
      <c r="A251" s="1020" t="s">
        <v>4752</v>
      </c>
      <c r="B251" s="1070" t="s">
        <v>4753</v>
      </c>
      <c r="C251" s="1000" t="s">
        <v>4249</v>
      </c>
      <c r="D251" s="1081" t="s">
        <v>4754</v>
      </c>
      <c r="E251" s="1080">
        <v>447168</v>
      </c>
      <c r="F251" s="1080"/>
      <c r="G251" s="1080"/>
      <c r="H251" s="1083" t="s">
        <v>4755</v>
      </c>
      <c r="I251" s="1074"/>
      <c r="J251" s="1074"/>
      <c r="K251" s="1000" t="s">
        <v>2858</v>
      </c>
    </row>
    <row r="252" spans="1:11" ht="36">
      <c r="A252" s="1020" t="s">
        <v>4756</v>
      </c>
      <c r="B252" s="1070" t="s">
        <v>4738</v>
      </c>
      <c r="C252" s="1000" t="s">
        <v>4249</v>
      </c>
      <c r="D252" s="1072"/>
      <c r="E252" s="1080">
        <v>667417.37</v>
      </c>
      <c r="F252" s="1080"/>
      <c r="G252" s="1080"/>
      <c r="H252" s="1083"/>
      <c r="I252" s="1074"/>
      <c r="J252" s="1074"/>
      <c r="K252" s="1000" t="s">
        <v>2964</v>
      </c>
    </row>
    <row r="253" spans="1:11" ht="84">
      <c r="A253" s="1020" t="s">
        <v>4757</v>
      </c>
      <c r="B253" s="1070" t="s">
        <v>4758</v>
      </c>
      <c r="C253" s="1000" t="s">
        <v>4249</v>
      </c>
      <c r="D253" s="1072"/>
      <c r="E253" s="1080">
        <v>174191.6</v>
      </c>
      <c r="F253" s="1080"/>
      <c r="G253" s="1080"/>
      <c r="H253" s="1083"/>
      <c r="I253" s="1074"/>
      <c r="J253" s="1074"/>
      <c r="K253" s="1000" t="s">
        <v>2964</v>
      </c>
    </row>
    <row r="254" spans="1:11" ht="36">
      <c r="A254" s="1020" t="s">
        <v>4759</v>
      </c>
      <c r="B254" s="1070" t="s">
        <v>4738</v>
      </c>
      <c r="C254" s="1000" t="s">
        <v>4249</v>
      </c>
      <c r="D254" s="1072"/>
      <c r="E254" s="1080">
        <v>278480</v>
      </c>
      <c r="F254" s="1080"/>
      <c r="G254" s="1080"/>
      <c r="H254" s="1083"/>
      <c r="I254" s="1074"/>
      <c r="J254" s="1074"/>
      <c r="K254" s="1000" t="s">
        <v>2964</v>
      </c>
    </row>
    <row r="255" spans="1:11" ht="36">
      <c r="A255" s="1020" t="s">
        <v>4760</v>
      </c>
      <c r="B255" s="1070" t="s">
        <v>4761</v>
      </c>
      <c r="C255" s="1000" t="s">
        <v>4249</v>
      </c>
      <c r="D255" s="1072"/>
      <c r="E255" s="1080">
        <v>1979384.01</v>
      </c>
      <c r="F255" s="1080"/>
      <c r="G255" s="1080"/>
      <c r="H255" s="1083"/>
      <c r="I255" s="1074"/>
      <c r="J255" s="1074"/>
      <c r="K255" s="1000" t="s">
        <v>2964</v>
      </c>
    </row>
    <row r="256" spans="1:11" ht="36">
      <c r="A256" s="1020" t="s">
        <v>4762</v>
      </c>
      <c r="B256" s="1070" t="s">
        <v>4738</v>
      </c>
      <c r="C256" s="1000" t="s">
        <v>4249</v>
      </c>
      <c r="D256" s="1072"/>
      <c r="E256" s="1080">
        <v>35400</v>
      </c>
      <c r="F256" s="1080"/>
      <c r="G256" s="1080"/>
      <c r="H256" s="1083"/>
      <c r="I256" s="1074"/>
      <c r="J256" s="1074"/>
      <c r="K256" s="1000" t="s">
        <v>2964</v>
      </c>
    </row>
    <row r="257" spans="1:11" ht="15">
      <c r="A257" s="1038" t="s">
        <v>4677</v>
      </c>
      <c r="B257" s="1070"/>
      <c r="C257" s="1000"/>
      <c r="D257" s="1072"/>
      <c r="E257" s="1080"/>
      <c r="F257" s="1080"/>
      <c r="G257" s="1080"/>
      <c r="H257" s="1083"/>
      <c r="I257" s="1074"/>
      <c r="J257" s="1074"/>
      <c r="K257" s="1000"/>
    </row>
    <row r="258" spans="1:11" ht="36">
      <c r="A258" s="1020" t="s">
        <v>4763</v>
      </c>
      <c r="B258" s="1070" t="s">
        <v>4738</v>
      </c>
      <c r="C258" s="1000" t="s">
        <v>4249</v>
      </c>
      <c r="D258" s="1072"/>
      <c r="E258" s="1080">
        <v>386036.5</v>
      </c>
      <c r="F258" s="1080"/>
      <c r="G258" s="1080"/>
      <c r="H258" s="1083"/>
      <c r="I258" s="1074"/>
      <c r="J258" s="1074"/>
      <c r="K258" s="1000" t="s">
        <v>2964</v>
      </c>
    </row>
    <row r="259" spans="1:11" ht="84">
      <c r="A259" s="1020" t="s">
        <v>4764</v>
      </c>
      <c r="B259" s="1070" t="s">
        <v>4738</v>
      </c>
      <c r="C259" s="1000" t="s">
        <v>4249</v>
      </c>
      <c r="D259" s="1072"/>
      <c r="E259" s="1080">
        <v>161117.10999999999</v>
      </c>
      <c r="F259" s="1080"/>
      <c r="G259" s="1080"/>
      <c r="H259" s="1083"/>
      <c r="I259" s="1074"/>
      <c r="J259" s="1074"/>
      <c r="K259" s="1000" t="s">
        <v>4740</v>
      </c>
    </row>
    <row r="260" spans="1:11" ht="24">
      <c r="A260" s="1020" t="s">
        <v>4765</v>
      </c>
      <c r="B260" s="1070" t="s">
        <v>4766</v>
      </c>
      <c r="C260" s="1000" t="s">
        <v>4249</v>
      </c>
      <c r="D260" s="1072" t="s">
        <v>4767</v>
      </c>
      <c r="E260" s="1080">
        <v>34400</v>
      </c>
      <c r="F260" s="1080"/>
      <c r="G260" s="1072" t="s">
        <v>4768</v>
      </c>
      <c r="H260" s="1084" t="s">
        <v>4687</v>
      </c>
      <c r="I260" s="1082">
        <v>43892</v>
      </c>
      <c r="J260" s="1074"/>
      <c r="K260" s="1000" t="s">
        <v>2964</v>
      </c>
    </row>
    <row r="261" spans="1:11" ht="24">
      <c r="A261" s="1020" t="s">
        <v>4769</v>
      </c>
      <c r="B261" s="1070" t="s">
        <v>4766</v>
      </c>
      <c r="C261" s="1000" t="s">
        <v>4249</v>
      </c>
      <c r="D261" s="1072" t="s">
        <v>4770</v>
      </c>
      <c r="E261" s="1072">
        <v>65170</v>
      </c>
      <c r="F261" s="1072"/>
      <c r="G261" s="1072" t="s">
        <v>4771</v>
      </c>
      <c r="H261" s="1078" t="s">
        <v>4687</v>
      </c>
      <c r="I261" s="1082">
        <v>43941</v>
      </c>
      <c r="J261" s="1074"/>
      <c r="K261" s="1000" t="s">
        <v>1402</v>
      </c>
    </row>
    <row r="262" spans="1:11" ht="24">
      <c r="A262" s="1020" t="s">
        <v>4772</v>
      </c>
      <c r="B262" s="1070" t="s">
        <v>4766</v>
      </c>
      <c r="C262" s="1000" t="s">
        <v>4249</v>
      </c>
      <c r="D262" s="1072" t="s">
        <v>4773</v>
      </c>
      <c r="E262" s="1072"/>
      <c r="F262" s="1072"/>
      <c r="G262" s="1072" t="s">
        <v>4774</v>
      </c>
      <c r="H262" s="1078" t="s">
        <v>4687</v>
      </c>
      <c r="I262" s="1082">
        <v>43949</v>
      </c>
      <c r="J262" s="1074"/>
      <c r="K262" s="1000" t="s">
        <v>1402</v>
      </c>
    </row>
    <row r="263" spans="1:11" ht="12">
      <c r="A263" s="1025"/>
      <c r="B263" s="1085"/>
      <c r="C263" s="1086"/>
      <c r="D263" s="1087"/>
      <c r="E263" s="1087"/>
      <c r="F263" s="1087"/>
      <c r="G263" s="1087"/>
      <c r="H263" s="1088"/>
      <c r="I263" s="1089"/>
      <c r="J263" s="1090"/>
      <c r="K263" s="1031"/>
    </row>
    <row r="264" spans="1:11" ht="18" customHeight="1">
      <c r="A264" s="1068" t="s">
        <v>4676</v>
      </c>
      <c r="B264" s="990"/>
      <c r="C264" s="990"/>
      <c r="D264" s="990"/>
      <c r="E264" s="1092">
        <f>SUM(E265:E284)</f>
        <v>2168570</v>
      </c>
      <c r="F264" s="1092"/>
      <c r="G264" s="990"/>
      <c r="H264" s="990"/>
      <c r="I264" s="990"/>
      <c r="J264" s="990"/>
      <c r="K264" s="1069"/>
    </row>
    <row r="265" spans="1:11" ht="12">
      <c r="A265" s="1070" t="s">
        <v>4775</v>
      </c>
      <c r="B265" s="1070" t="s">
        <v>4692</v>
      </c>
      <c r="C265" s="955"/>
      <c r="D265" s="1070"/>
      <c r="E265" s="1091">
        <v>609600</v>
      </c>
      <c r="F265" s="1091"/>
      <c r="G265" s="1070"/>
      <c r="H265" s="1078"/>
      <c r="I265" s="955"/>
      <c r="J265" s="955"/>
      <c r="K265" s="955" t="s">
        <v>2858</v>
      </c>
    </row>
    <row r="266" spans="1:11" ht="12">
      <c r="A266" s="1070" t="s">
        <v>4776</v>
      </c>
      <c r="B266" s="1070" t="s">
        <v>4692</v>
      </c>
      <c r="C266" s="955"/>
      <c r="D266" s="1070"/>
      <c r="E266" s="1091">
        <v>38400</v>
      </c>
      <c r="F266" s="1091"/>
      <c r="G266" s="1070"/>
      <c r="H266" s="1078"/>
      <c r="I266" s="955"/>
      <c r="J266" s="955"/>
      <c r="K266" s="955" t="s">
        <v>2858</v>
      </c>
    </row>
    <row r="267" spans="1:11" ht="24">
      <c r="A267" s="1070" t="s">
        <v>4777</v>
      </c>
      <c r="B267" s="1070" t="s">
        <v>716</v>
      </c>
      <c r="C267" s="955" t="s">
        <v>4249</v>
      </c>
      <c r="D267" s="1070"/>
      <c r="E267" s="1091">
        <v>135000</v>
      </c>
      <c r="F267" s="1091"/>
      <c r="G267" s="1070"/>
      <c r="H267" s="1078"/>
      <c r="I267" s="955"/>
      <c r="J267" s="955"/>
      <c r="K267" s="955" t="s">
        <v>2858</v>
      </c>
    </row>
    <row r="268" spans="1:11" ht="12">
      <c r="A268" s="1070" t="s">
        <v>4778</v>
      </c>
      <c r="B268" s="1070" t="s">
        <v>4503</v>
      </c>
      <c r="C268" s="955" t="s">
        <v>4249</v>
      </c>
      <c r="D268" s="1070"/>
      <c r="E268" s="1091">
        <v>100000</v>
      </c>
      <c r="F268" s="1091"/>
      <c r="G268" s="1070"/>
      <c r="H268" s="1078"/>
      <c r="I268" s="955"/>
      <c r="J268" s="955"/>
      <c r="K268" s="955" t="s">
        <v>1402</v>
      </c>
    </row>
    <row r="269" spans="1:11" ht="12">
      <c r="A269" s="1070" t="s">
        <v>4779</v>
      </c>
      <c r="B269" s="1070" t="s">
        <v>4503</v>
      </c>
      <c r="C269" s="955" t="s">
        <v>4249</v>
      </c>
      <c r="D269" s="1070"/>
      <c r="E269" s="1091">
        <v>50000</v>
      </c>
      <c r="F269" s="1091"/>
      <c r="G269" s="1070"/>
      <c r="H269" s="1078"/>
      <c r="I269" s="955"/>
      <c r="J269" s="955"/>
      <c r="K269" s="955" t="s">
        <v>1402</v>
      </c>
    </row>
    <row r="270" spans="1:11" ht="24">
      <c r="A270" s="1070" t="s">
        <v>4780</v>
      </c>
      <c r="B270" s="1070" t="s">
        <v>716</v>
      </c>
      <c r="C270" s="955" t="s">
        <v>4249</v>
      </c>
      <c r="D270" s="1070"/>
      <c r="E270" s="1091">
        <v>100000</v>
      </c>
      <c r="F270" s="1091"/>
      <c r="G270" s="1070"/>
      <c r="H270" s="1078"/>
      <c r="I270" s="955"/>
      <c r="J270" s="955"/>
      <c r="K270" s="955" t="s">
        <v>1402</v>
      </c>
    </row>
    <row r="271" spans="1:11" ht="24">
      <c r="A271" s="1070" t="s">
        <v>4781</v>
      </c>
      <c r="B271" s="1070" t="s">
        <v>716</v>
      </c>
      <c r="C271" s="955" t="s">
        <v>4249</v>
      </c>
      <c r="D271" s="1070"/>
      <c r="E271" s="1091">
        <v>160000</v>
      </c>
      <c r="F271" s="1091"/>
      <c r="G271" s="1070"/>
      <c r="H271" s="1078"/>
      <c r="I271" s="955"/>
      <c r="J271" s="955"/>
      <c r="K271" s="955" t="s">
        <v>1402</v>
      </c>
    </row>
    <row r="272" spans="1:11" ht="24">
      <c r="A272" s="1070" t="s">
        <v>4782</v>
      </c>
      <c r="B272" s="1070" t="s">
        <v>716</v>
      </c>
      <c r="C272" s="955" t="s">
        <v>4249</v>
      </c>
      <c r="D272" s="1070"/>
      <c r="E272" s="1091">
        <v>85000</v>
      </c>
      <c r="F272" s="1091"/>
      <c r="G272" s="1070"/>
      <c r="H272" s="1078"/>
      <c r="I272" s="955"/>
      <c r="J272" s="955"/>
      <c r="K272" s="955" t="s">
        <v>1402</v>
      </c>
    </row>
    <row r="273" spans="1:11" ht="18" customHeight="1">
      <c r="A273" s="1070" t="s">
        <v>4783</v>
      </c>
      <c r="B273" s="1070" t="s">
        <v>4692</v>
      </c>
      <c r="C273" s="955"/>
      <c r="D273" s="1070"/>
      <c r="E273" s="1091">
        <v>28005</v>
      </c>
      <c r="F273" s="1091"/>
      <c r="G273" s="1070"/>
      <c r="H273" s="1078"/>
      <c r="I273" s="955"/>
      <c r="J273" s="955"/>
      <c r="K273" s="955" t="s">
        <v>1402</v>
      </c>
    </row>
    <row r="274" spans="1:11" ht="24">
      <c r="A274" s="1070" t="s">
        <v>4784</v>
      </c>
      <c r="B274" s="1070" t="s">
        <v>716</v>
      </c>
      <c r="C274" s="955" t="s">
        <v>4249</v>
      </c>
      <c r="D274" s="1070"/>
      <c r="E274" s="1091">
        <v>189325</v>
      </c>
      <c r="F274" s="1091"/>
      <c r="G274" s="1070"/>
      <c r="H274" s="1078"/>
      <c r="I274" s="955"/>
      <c r="J274" s="955"/>
      <c r="K274" s="955" t="s">
        <v>1402</v>
      </c>
    </row>
    <row r="275" spans="1:11" ht="24">
      <c r="A275" s="1070" t="s">
        <v>4785</v>
      </c>
      <c r="B275" s="1070" t="s">
        <v>716</v>
      </c>
      <c r="C275" s="955" t="s">
        <v>4249</v>
      </c>
      <c r="D275" s="1070"/>
      <c r="E275" s="1091">
        <v>125000</v>
      </c>
      <c r="F275" s="1091"/>
      <c r="G275" s="1070"/>
      <c r="H275" s="1078"/>
      <c r="I275" s="955"/>
      <c r="J275" s="955"/>
      <c r="K275" s="955" t="s">
        <v>1402</v>
      </c>
    </row>
    <row r="276" spans="1:11" ht="18" customHeight="1">
      <c r="A276" s="1070" t="s">
        <v>4786</v>
      </c>
      <c r="B276" s="1070" t="s">
        <v>4692</v>
      </c>
      <c r="C276" s="955"/>
      <c r="D276" s="1070"/>
      <c r="E276" s="1091">
        <v>66240</v>
      </c>
      <c r="F276" s="1091"/>
      <c r="G276" s="1070"/>
      <c r="H276" s="1078"/>
      <c r="I276" s="955"/>
      <c r="J276" s="955"/>
      <c r="K276" s="955" t="s">
        <v>1402</v>
      </c>
    </row>
    <row r="277" spans="1:11" ht="24">
      <c r="A277" s="1070" t="s">
        <v>4787</v>
      </c>
      <c r="B277" s="1070" t="s">
        <v>716</v>
      </c>
      <c r="C277" s="955" t="s">
        <v>4249</v>
      </c>
      <c r="D277" s="1070"/>
      <c r="E277" s="1091">
        <v>50000</v>
      </c>
      <c r="F277" s="1091"/>
      <c r="G277" s="1070"/>
      <c r="H277" s="1078"/>
      <c r="I277" s="955"/>
      <c r="J277" s="955"/>
      <c r="K277" s="955" t="s">
        <v>1402</v>
      </c>
    </row>
    <row r="278" spans="1:11" ht="24">
      <c r="A278" s="1070" t="s">
        <v>4788</v>
      </c>
      <c r="B278" s="1070" t="s">
        <v>716</v>
      </c>
      <c r="C278" s="955" t="s">
        <v>4249</v>
      </c>
      <c r="D278" s="1070"/>
      <c r="E278" s="1091">
        <v>60000</v>
      </c>
      <c r="F278" s="1091"/>
      <c r="G278" s="1070"/>
      <c r="H278" s="1078"/>
      <c r="I278" s="955"/>
      <c r="J278" s="955"/>
      <c r="K278" s="955" t="s">
        <v>1402</v>
      </c>
    </row>
    <row r="279" spans="1:11" ht="18" customHeight="1">
      <c r="A279" s="1070" t="s">
        <v>4789</v>
      </c>
      <c r="B279" s="1070" t="s">
        <v>4692</v>
      </c>
      <c r="C279" s="955"/>
      <c r="D279" s="1070"/>
      <c r="E279" s="1091">
        <v>70000</v>
      </c>
      <c r="F279" s="1091"/>
      <c r="G279" s="1070"/>
      <c r="H279" s="1078"/>
      <c r="I279" s="955"/>
      <c r="J279" s="955"/>
      <c r="K279" s="955" t="s">
        <v>1402</v>
      </c>
    </row>
    <row r="280" spans="1:11" ht="18" customHeight="1">
      <c r="A280" s="1070" t="s">
        <v>4790</v>
      </c>
      <c r="B280" s="1070" t="s">
        <v>4692</v>
      </c>
      <c r="C280" s="955"/>
      <c r="D280" s="1070"/>
      <c r="E280" s="1091">
        <v>60000</v>
      </c>
      <c r="F280" s="1091"/>
      <c r="G280" s="1070"/>
      <c r="H280" s="1078"/>
      <c r="I280" s="955"/>
      <c r="J280" s="955"/>
      <c r="K280" s="955" t="s">
        <v>1402</v>
      </c>
    </row>
    <row r="281" spans="1:11" ht="18" customHeight="1">
      <c r="A281" s="1070" t="s">
        <v>4791</v>
      </c>
      <c r="B281" s="1070" t="s">
        <v>4692</v>
      </c>
      <c r="C281" s="955"/>
      <c r="D281" s="1070"/>
      <c r="E281" s="1091">
        <v>92000</v>
      </c>
      <c r="F281" s="1091"/>
      <c r="G281" s="1070"/>
      <c r="H281" s="1078"/>
      <c r="I281" s="955"/>
      <c r="J281" s="955"/>
      <c r="K281" s="955" t="s">
        <v>1402</v>
      </c>
    </row>
    <row r="282" spans="1:11" ht="24">
      <c r="A282" s="1070" t="s">
        <v>4792</v>
      </c>
      <c r="B282" s="1070" t="s">
        <v>716</v>
      </c>
      <c r="C282" s="955" t="s">
        <v>4249</v>
      </c>
      <c r="D282" s="1070"/>
      <c r="E282" s="1091">
        <v>60000</v>
      </c>
      <c r="F282" s="1091"/>
      <c r="G282" s="1070"/>
      <c r="H282" s="1078"/>
      <c r="I282" s="955"/>
      <c r="J282" s="955"/>
      <c r="K282" s="955" t="s">
        <v>1402</v>
      </c>
    </row>
    <row r="283" spans="1:11" ht="24">
      <c r="A283" s="1070" t="s">
        <v>4793</v>
      </c>
      <c r="B283" s="1070" t="s">
        <v>4276</v>
      </c>
      <c r="C283" s="955" t="s">
        <v>4249</v>
      </c>
      <c r="D283" s="1070"/>
      <c r="E283" s="1091">
        <v>40000</v>
      </c>
      <c r="F283" s="1091"/>
      <c r="G283" s="1070"/>
      <c r="H283" s="1078"/>
      <c r="I283" s="955"/>
      <c r="J283" s="955"/>
      <c r="K283" s="955" t="s">
        <v>1402</v>
      </c>
    </row>
    <row r="284" spans="1:11" ht="24">
      <c r="A284" s="1070" t="s">
        <v>4794</v>
      </c>
      <c r="B284" s="1070" t="s">
        <v>716</v>
      </c>
      <c r="C284" s="955" t="s">
        <v>4249</v>
      </c>
      <c r="D284" s="1070"/>
      <c r="E284" s="1091">
        <v>50000</v>
      </c>
      <c r="F284" s="1091"/>
      <c r="G284" s="1070"/>
      <c r="H284" s="1078"/>
      <c r="I284" s="955"/>
      <c r="J284" s="955"/>
      <c r="K284" s="955" t="s">
        <v>1402</v>
      </c>
    </row>
    <row r="285" spans="1:11" ht="18.75" customHeight="1">
      <c r="A285" s="1032" t="s">
        <v>4795</v>
      </c>
      <c r="B285" s="1032"/>
      <c r="C285" s="1032"/>
      <c r="D285" s="1032"/>
      <c r="E285" s="991">
        <f>+E218+E241+E264</f>
        <v>21585310.640000001</v>
      </c>
      <c r="F285" s="991"/>
      <c r="G285" s="1032"/>
      <c r="H285" s="1033"/>
      <c r="I285" s="1033"/>
      <c r="J285" s="1033"/>
      <c r="K285" s="1033"/>
    </row>
    <row r="286" spans="1:11">
      <c r="A286" s="1105"/>
      <c r="B286" s="1037"/>
      <c r="C286" s="1037"/>
      <c r="D286" s="1037"/>
      <c r="E286" s="1037"/>
      <c r="F286" s="1037"/>
      <c r="G286" s="1037"/>
      <c r="H286" s="1037"/>
      <c r="I286" s="1037"/>
      <c r="J286" s="1037"/>
      <c r="K286" s="1037"/>
    </row>
    <row r="287" spans="1:11">
      <c r="A287" s="1106"/>
      <c r="B287" s="579"/>
      <c r="C287" s="579"/>
      <c r="D287" s="579"/>
      <c r="E287" s="579"/>
      <c r="F287" s="579"/>
      <c r="G287" s="579"/>
      <c r="H287" s="579"/>
      <c r="I287" s="579"/>
      <c r="J287" s="579"/>
      <c r="K287" s="579"/>
    </row>
    <row r="288" spans="1:11" s="952" customFormat="1" ht="18" customHeight="1">
      <c r="A288" s="1038" t="s">
        <v>697</v>
      </c>
      <c r="B288" s="976"/>
      <c r="C288" s="976"/>
      <c r="D288" s="976"/>
      <c r="E288" s="976"/>
      <c r="F288" s="976"/>
      <c r="G288" s="976"/>
      <c r="H288" s="976"/>
      <c r="I288" s="976"/>
      <c r="J288" s="976"/>
      <c r="K288" s="977"/>
    </row>
    <row r="289" spans="1:11" s="952" customFormat="1" ht="17.25" customHeight="1">
      <c r="A289" s="987" t="s">
        <v>4644</v>
      </c>
      <c r="B289" s="965"/>
      <c r="C289" s="965"/>
      <c r="D289" s="965"/>
      <c r="E289" s="1094">
        <f>SUM(E290:E316)</f>
        <v>7937907.6600000001</v>
      </c>
      <c r="F289" s="1094"/>
      <c r="G289" s="965"/>
      <c r="H289" s="965"/>
      <c r="I289" s="965"/>
      <c r="J289" s="965"/>
      <c r="K289" s="986"/>
    </row>
    <row r="290" spans="1:11" s="1053" customFormat="1" ht="24">
      <c r="A290" s="1048" t="s">
        <v>573</v>
      </c>
      <c r="B290" s="1049" t="s">
        <v>574</v>
      </c>
      <c r="C290" s="1049" t="s">
        <v>574</v>
      </c>
      <c r="D290" s="1049" t="s">
        <v>575</v>
      </c>
      <c r="E290" s="1050">
        <v>371983.2</v>
      </c>
      <c r="F290" s="1050"/>
      <c r="G290" s="1051" t="s">
        <v>576</v>
      </c>
      <c r="H290" s="1049" t="s">
        <v>577</v>
      </c>
      <c r="I290" s="1052" t="s">
        <v>578</v>
      </c>
      <c r="J290" s="1049" t="s">
        <v>579</v>
      </c>
      <c r="K290" s="1049"/>
    </row>
    <row r="291" spans="1:11" s="1053" customFormat="1" ht="24">
      <c r="A291" s="1048" t="s">
        <v>580</v>
      </c>
      <c r="B291" s="1049" t="s">
        <v>581</v>
      </c>
      <c r="C291" s="1049" t="s">
        <v>581</v>
      </c>
      <c r="D291" s="1049" t="s">
        <v>582</v>
      </c>
      <c r="E291" s="1050">
        <v>99900</v>
      </c>
      <c r="F291" s="1050"/>
      <c r="G291" s="1049" t="s">
        <v>583</v>
      </c>
      <c r="H291" s="1049" t="s">
        <v>577</v>
      </c>
      <c r="I291" s="1052" t="s">
        <v>584</v>
      </c>
      <c r="J291" s="1049" t="s">
        <v>585</v>
      </c>
      <c r="K291" s="1049"/>
    </row>
    <row r="292" spans="1:11" s="1053" customFormat="1" ht="24">
      <c r="A292" s="1048" t="s">
        <v>586</v>
      </c>
      <c r="B292" s="1049" t="s">
        <v>581</v>
      </c>
      <c r="C292" s="1049" t="s">
        <v>581</v>
      </c>
      <c r="D292" s="1049" t="s">
        <v>587</v>
      </c>
      <c r="E292" s="1050">
        <v>58000</v>
      </c>
      <c r="F292" s="1050"/>
      <c r="G292" s="1049" t="s">
        <v>588</v>
      </c>
      <c r="H292" s="1049" t="s">
        <v>577</v>
      </c>
      <c r="I292" s="1052" t="s">
        <v>589</v>
      </c>
      <c r="J292" s="1049" t="s">
        <v>590</v>
      </c>
      <c r="K292" s="1024"/>
    </row>
    <row r="293" spans="1:11" s="1053" customFormat="1" ht="44.25" customHeight="1">
      <c r="A293" s="1048" t="s">
        <v>591</v>
      </c>
      <c r="B293" s="1049" t="s">
        <v>581</v>
      </c>
      <c r="C293" s="1049" t="s">
        <v>581</v>
      </c>
      <c r="D293" s="1049" t="s">
        <v>592</v>
      </c>
      <c r="E293" s="1050">
        <v>120141.7</v>
      </c>
      <c r="F293" s="1050"/>
      <c r="G293" s="1049" t="s">
        <v>593</v>
      </c>
      <c r="H293" s="1049" t="s">
        <v>577</v>
      </c>
      <c r="I293" s="1052" t="s">
        <v>594</v>
      </c>
      <c r="J293" s="1054">
        <v>43862</v>
      </c>
      <c r="K293" s="1024"/>
    </row>
    <row r="294" spans="1:11" s="1053" customFormat="1" ht="24">
      <c r="A294" s="1048" t="s">
        <v>595</v>
      </c>
      <c r="B294" s="1049" t="s">
        <v>581</v>
      </c>
      <c r="C294" s="1049" t="s">
        <v>581</v>
      </c>
      <c r="D294" s="1049" t="s">
        <v>596</v>
      </c>
      <c r="E294" s="1050">
        <v>364477.63</v>
      </c>
      <c r="F294" s="1050"/>
      <c r="G294" s="1049"/>
      <c r="H294" s="1049" t="s">
        <v>597</v>
      </c>
      <c r="I294" s="1052"/>
      <c r="J294" s="1024"/>
      <c r="K294" s="1024"/>
    </row>
    <row r="295" spans="1:11" s="1053" customFormat="1" ht="24">
      <c r="A295" s="1048" t="s">
        <v>598</v>
      </c>
      <c r="B295" s="1049" t="s">
        <v>599</v>
      </c>
      <c r="C295" s="1049" t="s">
        <v>599</v>
      </c>
      <c r="D295" s="1049" t="s">
        <v>600</v>
      </c>
      <c r="E295" s="1050">
        <v>178780</v>
      </c>
      <c r="F295" s="1050"/>
      <c r="G295" s="1049" t="s">
        <v>601</v>
      </c>
      <c r="H295" s="1049" t="s">
        <v>577</v>
      </c>
      <c r="I295" s="1052" t="s">
        <v>602</v>
      </c>
      <c r="J295" s="1054">
        <v>43983</v>
      </c>
      <c r="K295" s="1024"/>
    </row>
    <row r="296" spans="1:11" s="1053" customFormat="1" ht="48">
      <c r="A296" s="1048" t="s">
        <v>603</v>
      </c>
      <c r="B296" s="1049" t="s">
        <v>581</v>
      </c>
      <c r="C296" s="1049" t="s">
        <v>581</v>
      </c>
      <c r="D296" s="1049" t="s">
        <v>604</v>
      </c>
      <c r="E296" s="1050">
        <v>96107.66</v>
      </c>
      <c r="F296" s="1050"/>
      <c r="G296" s="1049" t="s">
        <v>605</v>
      </c>
      <c r="H296" s="1049" t="s">
        <v>577</v>
      </c>
      <c r="I296" s="1052" t="s">
        <v>606</v>
      </c>
      <c r="J296" s="1054">
        <v>43891</v>
      </c>
      <c r="K296" s="1024"/>
    </row>
    <row r="297" spans="1:11" s="1053" customFormat="1" ht="24">
      <c r="A297" s="1048" t="s">
        <v>607</v>
      </c>
      <c r="B297" s="1049" t="s">
        <v>581</v>
      </c>
      <c r="C297" s="1049" t="s">
        <v>581</v>
      </c>
      <c r="D297" s="1049" t="s">
        <v>608</v>
      </c>
      <c r="E297" s="1050">
        <v>80047</v>
      </c>
      <c r="F297" s="1050"/>
      <c r="G297" s="1049" t="s">
        <v>609</v>
      </c>
      <c r="H297" s="1049" t="s">
        <v>577</v>
      </c>
      <c r="I297" s="1052" t="s">
        <v>610</v>
      </c>
      <c r="J297" s="1049" t="s">
        <v>611</v>
      </c>
      <c r="K297" s="1024"/>
    </row>
    <row r="298" spans="1:11" s="1053" customFormat="1" ht="24">
      <c r="A298" s="1048" t="s">
        <v>612</v>
      </c>
      <c r="B298" s="1049" t="s">
        <v>581</v>
      </c>
      <c r="C298" s="1049" t="s">
        <v>581</v>
      </c>
      <c r="D298" s="1049" t="s">
        <v>613</v>
      </c>
      <c r="E298" s="1050">
        <v>386708.67</v>
      </c>
      <c r="F298" s="1050"/>
      <c r="G298" s="1049"/>
      <c r="H298" s="1049" t="s">
        <v>614</v>
      </c>
      <c r="I298" s="1024"/>
      <c r="J298" s="1024"/>
      <c r="K298" s="1024"/>
    </row>
    <row r="299" spans="1:11" s="1053" customFormat="1" ht="48">
      <c r="A299" s="1048" t="s">
        <v>615</v>
      </c>
      <c r="B299" s="1049" t="s">
        <v>616</v>
      </c>
      <c r="C299" s="1049" t="s">
        <v>616</v>
      </c>
      <c r="D299" s="1049" t="s">
        <v>617</v>
      </c>
      <c r="E299" s="1050">
        <v>274793</v>
      </c>
      <c r="F299" s="1050"/>
      <c r="G299" s="1049" t="s">
        <v>618</v>
      </c>
      <c r="H299" s="1049" t="s">
        <v>577</v>
      </c>
      <c r="I299" s="1052" t="s">
        <v>619</v>
      </c>
      <c r="J299" s="1049" t="s">
        <v>620</v>
      </c>
      <c r="K299" s="1024"/>
    </row>
    <row r="300" spans="1:11" s="1053" customFormat="1" ht="24">
      <c r="A300" s="1048" t="s">
        <v>621</v>
      </c>
      <c r="B300" s="1049" t="s">
        <v>616</v>
      </c>
      <c r="C300" s="1049" t="s">
        <v>616</v>
      </c>
      <c r="D300" s="1049" t="s">
        <v>622</v>
      </c>
      <c r="E300" s="1050">
        <v>460843.74</v>
      </c>
      <c r="F300" s="1050"/>
      <c r="G300" s="1049"/>
      <c r="H300" s="1049" t="s">
        <v>623</v>
      </c>
      <c r="I300" s="1052"/>
      <c r="J300" s="1049"/>
      <c r="K300" s="1024"/>
    </row>
    <row r="301" spans="1:11" s="1053" customFormat="1" ht="24">
      <c r="A301" s="1048" t="s">
        <v>624</v>
      </c>
      <c r="B301" s="1049" t="s">
        <v>616</v>
      </c>
      <c r="C301" s="1049" t="s">
        <v>616</v>
      </c>
      <c r="D301" s="1049" t="s">
        <v>625</v>
      </c>
      <c r="E301" s="1050">
        <v>1215307</v>
      </c>
      <c r="F301" s="1050"/>
      <c r="G301" s="1049"/>
      <c r="H301" s="1049" t="s">
        <v>626</v>
      </c>
      <c r="I301" s="1024"/>
      <c r="J301" s="1024"/>
      <c r="K301" s="1024"/>
    </row>
    <row r="302" spans="1:11" s="1053" customFormat="1" ht="24">
      <c r="A302" s="1048" t="s">
        <v>627</v>
      </c>
      <c r="B302" s="1049" t="s">
        <v>581</v>
      </c>
      <c r="C302" s="1049" t="s">
        <v>581</v>
      </c>
      <c r="D302" s="1049" t="s">
        <v>628</v>
      </c>
      <c r="E302" s="1050">
        <v>214763.66</v>
      </c>
      <c r="F302" s="1050"/>
      <c r="G302" s="1049"/>
      <c r="H302" s="1049" t="s">
        <v>626</v>
      </c>
      <c r="I302" s="1052"/>
      <c r="J302" s="1024"/>
      <c r="K302" s="1024"/>
    </row>
    <row r="303" spans="1:11" s="1053" customFormat="1" ht="24">
      <c r="A303" s="1048" t="s">
        <v>629</v>
      </c>
      <c r="B303" s="1049" t="s">
        <v>581</v>
      </c>
      <c r="C303" s="1049" t="s">
        <v>581</v>
      </c>
      <c r="D303" s="1049" t="s">
        <v>630</v>
      </c>
      <c r="E303" s="1050">
        <v>58460.76</v>
      </c>
      <c r="F303" s="1050"/>
      <c r="G303" s="1049" t="s">
        <v>631</v>
      </c>
      <c r="H303" s="1049" t="s">
        <v>577</v>
      </c>
      <c r="I303" s="1052" t="s">
        <v>632</v>
      </c>
      <c r="J303" s="1049" t="s">
        <v>620</v>
      </c>
      <c r="K303" s="1024"/>
    </row>
    <row r="304" spans="1:11" s="1053" customFormat="1" ht="24">
      <c r="A304" s="1048" t="s">
        <v>633</v>
      </c>
      <c r="B304" s="1049" t="s">
        <v>574</v>
      </c>
      <c r="C304" s="1049" t="s">
        <v>574</v>
      </c>
      <c r="D304" s="1049" t="s">
        <v>634</v>
      </c>
      <c r="E304" s="1050">
        <v>302805.65000000002</v>
      </c>
      <c r="F304" s="1050"/>
      <c r="G304" s="1049" t="s">
        <v>635</v>
      </c>
      <c r="H304" s="1049" t="s">
        <v>577</v>
      </c>
      <c r="I304" s="1052" t="s">
        <v>636</v>
      </c>
      <c r="J304" s="1049" t="s">
        <v>637</v>
      </c>
      <c r="K304" s="1024"/>
    </row>
    <row r="305" spans="1:11" s="1053" customFormat="1" ht="24">
      <c r="A305" s="1048" t="s">
        <v>638</v>
      </c>
      <c r="B305" s="1049" t="s">
        <v>581</v>
      </c>
      <c r="C305" s="1049" t="s">
        <v>581</v>
      </c>
      <c r="D305" s="1049" t="s">
        <v>639</v>
      </c>
      <c r="E305" s="1050">
        <v>110000</v>
      </c>
      <c r="F305" s="1050"/>
      <c r="G305" s="1049" t="s">
        <v>640</v>
      </c>
      <c r="H305" s="1049" t="s">
        <v>577</v>
      </c>
      <c r="I305" s="1052" t="s">
        <v>641</v>
      </c>
      <c r="J305" s="1049" t="s">
        <v>642</v>
      </c>
      <c r="K305" s="1024"/>
    </row>
    <row r="306" spans="1:11" s="1053" customFormat="1" ht="24">
      <c r="A306" s="1048" t="s">
        <v>4675</v>
      </c>
      <c r="B306" s="1049" t="s">
        <v>574</v>
      </c>
      <c r="C306" s="1049" t="s">
        <v>574</v>
      </c>
      <c r="D306" s="1049" t="s">
        <v>643</v>
      </c>
      <c r="E306" s="1055">
        <v>1164574.6000000001</v>
      </c>
      <c r="F306" s="1055"/>
      <c r="G306" s="1049"/>
      <c r="H306" s="1049" t="s">
        <v>597</v>
      </c>
      <c r="I306" s="1052"/>
      <c r="J306" s="1049"/>
      <c r="K306" s="1024"/>
    </row>
    <row r="307" spans="1:11" s="1053" customFormat="1" ht="24">
      <c r="A307" s="1048" t="s">
        <v>644</v>
      </c>
      <c r="B307" s="1049" t="s">
        <v>581</v>
      </c>
      <c r="C307" s="1049" t="s">
        <v>581</v>
      </c>
      <c r="D307" s="1049" t="s">
        <v>645</v>
      </c>
      <c r="E307" s="1050">
        <v>103500</v>
      </c>
      <c r="F307" s="1050"/>
      <c r="G307" s="1049" t="s">
        <v>646</v>
      </c>
      <c r="H307" s="1049" t="s">
        <v>577</v>
      </c>
      <c r="I307" s="1052" t="s">
        <v>602</v>
      </c>
      <c r="J307" s="1054">
        <v>43891</v>
      </c>
      <c r="K307" s="1024"/>
    </row>
    <row r="308" spans="1:11" s="1053" customFormat="1" ht="36">
      <c r="A308" s="1048" t="s">
        <v>647</v>
      </c>
      <c r="B308" s="1049" t="s">
        <v>581</v>
      </c>
      <c r="C308" s="1049" t="s">
        <v>581</v>
      </c>
      <c r="D308" s="1049" t="s">
        <v>648</v>
      </c>
      <c r="E308" s="1050">
        <v>100450</v>
      </c>
      <c r="F308" s="1050"/>
      <c r="G308" s="1049" t="s">
        <v>649</v>
      </c>
      <c r="H308" s="1049" t="s">
        <v>577</v>
      </c>
      <c r="I308" s="1052" t="s">
        <v>579</v>
      </c>
      <c r="J308" s="1049" t="s">
        <v>637</v>
      </c>
      <c r="K308" s="1024"/>
    </row>
    <row r="309" spans="1:11" s="1053" customFormat="1" ht="24">
      <c r="A309" s="1048" t="s">
        <v>650</v>
      </c>
      <c r="B309" s="1049" t="s">
        <v>581</v>
      </c>
      <c r="C309" s="1049" t="s">
        <v>581</v>
      </c>
      <c r="D309" s="1049" t="s">
        <v>651</v>
      </c>
      <c r="E309" s="1050">
        <v>104511</v>
      </c>
      <c r="F309" s="1050"/>
      <c r="G309" s="1049"/>
      <c r="H309" s="1049" t="s">
        <v>597</v>
      </c>
      <c r="I309" s="1052"/>
      <c r="J309" s="1049"/>
      <c r="K309" s="1024"/>
    </row>
    <row r="310" spans="1:11" s="1053" customFormat="1" ht="24">
      <c r="A310" s="1048" t="s">
        <v>652</v>
      </c>
      <c r="B310" s="1049" t="s">
        <v>581</v>
      </c>
      <c r="C310" s="1049" t="s">
        <v>581</v>
      </c>
      <c r="D310" s="1049" t="s">
        <v>653</v>
      </c>
      <c r="E310" s="1050">
        <v>148000</v>
      </c>
      <c r="F310" s="1050"/>
      <c r="G310" s="1049" t="s">
        <v>654</v>
      </c>
      <c r="H310" s="1049" t="s">
        <v>577</v>
      </c>
      <c r="I310" s="1052" t="s">
        <v>655</v>
      </c>
      <c r="J310" s="1054">
        <v>43891</v>
      </c>
      <c r="K310" s="1024"/>
    </row>
    <row r="311" spans="1:11" s="1053" customFormat="1" ht="24">
      <c r="A311" s="1048" t="s">
        <v>656</v>
      </c>
      <c r="B311" s="1049" t="s">
        <v>581</v>
      </c>
      <c r="C311" s="1049" t="s">
        <v>581</v>
      </c>
      <c r="D311" s="1049" t="s">
        <v>657</v>
      </c>
      <c r="E311" s="1050">
        <v>262367.5</v>
      </c>
      <c r="F311" s="1050"/>
      <c r="G311" s="1049"/>
      <c r="H311" s="1049" t="s">
        <v>658</v>
      </c>
      <c r="I311" s="1052"/>
      <c r="J311" s="1049"/>
      <c r="K311" s="1024"/>
    </row>
    <row r="312" spans="1:11" s="1053" customFormat="1" ht="24">
      <c r="A312" s="1048" t="s">
        <v>659</v>
      </c>
      <c r="B312" s="1049" t="s">
        <v>574</v>
      </c>
      <c r="C312" s="1049" t="s">
        <v>574</v>
      </c>
      <c r="D312" s="1049" t="s">
        <v>660</v>
      </c>
      <c r="E312" s="1050">
        <v>92134.91</v>
      </c>
      <c r="F312" s="1050"/>
      <c r="G312" s="1049" t="s">
        <v>661</v>
      </c>
      <c r="H312" s="1049" t="s">
        <v>577</v>
      </c>
      <c r="I312" s="1052" t="s">
        <v>662</v>
      </c>
      <c r="J312" s="1054">
        <v>43862</v>
      </c>
      <c r="K312" s="1024"/>
    </row>
    <row r="313" spans="1:11" s="1053" customFormat="1" ht="15">
      <c r="A313" s="1038" t="s">
        <v>697</v>
      </c>
      <c r="B313" s="1049"/>
      <c r="C313" s="1049"/>
      <c r="D313" s="1049"/>
      <c r="E313" s="1050"/>
      <c r="F313" s="1050"/>
      <c r="G313" s="1049"/>
      <c r="H313" s="1049"/>
      <c r="I313" s="1052"/>
      <c r="J313" s="1054"/>
      <c r="K313" s="1024"/>
    </row>
    <row r="314" spans="1:11" s="1053" customFormat="1" ht="24">
      <c r="A314" s="1048" t="s">
        <v>663</v>
      </c>
      <c r="B314" s="1049" t="s">
        <v>616</v>
      </c>
      <c r="C314" s="1049" t="s">
        <v>616</v>
      </c>
      <c r="D314" s="1049" t="s">
        <v>664</v>
      </c>
      <c r="E314" s="1050">
        <v>1195035</v>
      </c>
      <c r="F314" s="1050"/>
      <c r="G314" s="1049"/>
      <c r="H314" s="1049" t="s">
        <v>597</v>
      </c>
      <c r="I314" s="1052"/>
      <c r="J314" s="1049"/>
      <c r="K314" s="1024"/>
    </row>
    <row r="315" spans="1:11" s="1053" customFormat="1" ht="24">
      <c r="A315" s="1048" t="s">
        <v>665</v>
      </c>
      <c r="B315" s="1049" t="s">
        <v>581</v>
      </c>
      <c r="C315" s="1049" t="s">
        <v>581</v>
      </c>
      <c r="D315" s="1049" t="s">
        <v>666</v>
      </c>
      <c r="E315" s="1050">
        <v>205900</v>
      </c>
      <c r="F315" s="1050"/>
      <c r="G315" s="1049"/>
      <c r="H315" s="1049" t="s">
        <v>597</v>
      </c>
      <c r="I315" s="1052"/>
      <c r="J315" s="1049"/>
      <c r="K315" s="1024"/>
    </row>
    <row r="316" spans="1:11" s="1053" customFormat="1" ht="48">
      <c r="A316" s="1048" t="s">
        <v>667</v>
      </c>
      <c r="B316" s="1056" t="s">
        <v>599</v>
      </c>
      <c r="C316" s="1056" t="s">
        <v>599</v>
      </c>
      <c r="D316" s="1056" t="s">
        <v>668</v>
      </c>
      <c r="E316" s="1057">
        <v>168314.98</v>
      </c>
      <c r="F316" s="1057"/>
      <c r="G316" s="1056"/>
      <c r="H316" s="1056" t="s">
        <v>597</v>
      </c>
      <c r="I316" s="1058"/>
      <c r="J316" s="1056"/>
      <c r="K316" s="1042"/>
    </row>
    <row r="317" spans="1:11" s="1053" customFormat="1" ht="20.100000000000001" customHeight="1">
      <c r="A317" s="1044" t="s">
        <v>4583</v>
      </c>
      <c r="B317" s="988"/>
      <c r="C317" s="988"/>
      <c r="D317" s="988"/>
      <c r="E317" s="1095">
        <f>SUM(E318:E324)</f>
        <v>439429.52999999997</v>
      </c>
      <c r="F317" s="1095"/>
      <c r="G317" s="988"/>
      <c r="H317" s="988"/>
      <c r="I317" s="988"/>
      <c r="J317" s="988"/>
      <c r="K317" s="1045"/>
    </row>
    <row r="318" spans="1:11" s="1053" customFormat="1" ht="48">
      <c r="A318" s="1059" t="s">
        <v>669</v>
      </c>
      <c r="B318" s="1060" t="s">
        <v>599</v>
      </c>
      <c r="C318" s="1060" t="s">
        <v>599</v>
      </c>
      <c r="D318" s="1061" t="s">
        <v>670</v>
      </c>
      <c r="E318" s="1062">
        <v>41617.599999999999</v>
      </c>
      <c r="F318" s="1062"/>
      <c r="G318" s="1061" t="s">
        <v>671</v>
      </c>
      <c r="H318" s="1061" t="s">
        <v>672</v>
      </c>
      <c r="I318" s="1043"/>
      <c r="J318" s="1043"/>
      <c r="K318" s="1043"/>
    </row>
    <row r="319" spans="1:11" s="1053" customFormat="1" ht="24">
      <c r="A319" s="1048" t="s">
        <v>673</v>
      </c>
      <c r="B319" s="1049" t="s">
        <v>581</v>
      </c>
      <c r="C319" s="1049" t="s">
        <v>581</v>
      </c>
      <c r="D319" s="1063" t="s">
        <v>674</v>
      </c>
      <c r="E319" s="1050">
        <v>81033.03</v>
      </c>
      <c r="F319" s="1050"/>
      <c r="G319" s="1063"/>
      <c r="H319" s="1063" t="s">
        <v>675</v>
      </c>
      <c r="I319" s="1024"/>
      <c r="J319" s="1024"/>
      <c r="K319" s="1024"/>
    </row>
    <row r="320" spans="1:11" s="1053" customFormat="1" ht="24">
      <c r="A320" s="1048" t="s">
        <v>676</v>
      </c>
      <c r="B320" s="1049" t="s">
        <v>581</v>
      </c>
      <c r="C320" s="1049" t="s">
        <v>581</v>
      </c>
      <c r="D320" s="1063" t="s">
        <v>677</v>
      </c>
      <c r="E320" s="1050">
        <v>84110.399999999994</v>
      </c>
      <c r="F320" s="1050"/>
      <c r="G320" s="1063"/>
      <c r="H320" s="1063" t="s">
        <v>672</v>
      </c>
      <c r="I320" s="1024"/>
      <c r="J320" s="1024"/>
      <c r="K320" s="1024"/>
    </row>
    <row r="321" spans="1:11" s="1053" customFormat="1" ht="24">
      <c r="A321" s="1048" t="s">
        <v>678</v>
      </c>
      <c r="B321" s="1049" t="s">
        <v>581</v>
      </c>
      <c r="C321" s="1049" t="s">
        <v>581</v>
      </c>
      <c r="D321" s="1063" t="s">
        <v>679</v>
      </c>
      <c r="E321" s="1050">
        <v>72155.009999999995</v>
      </c>
      <c r="F321" s="1050"/>
      <c r="G321" s="1063"/>
      <c r="H321" s="1063" t="s">
        <v>672</v>
      </c>
      <c r="I321" s="1024"/>
      <c r="J321" s="1024"/>
      <c r="K321" s="1024"/>
    </row>
    <row r="322" spans="1:11" s="1053" customFormat="1" ht="24">
      <c r="A322" s="1048" t="s">
        <v>680</v>
      </c>
      <c r="B322" s="1049" t="s">
        <v>581</v>
      </c>
      <c r="C322" s="1049" t="s">
        <v>581</v>
      </c>
      <c r="D322" s="1063" t="s">
        <v>681</v>
      </c>
      <c r="E322" s="1050">
        <v>49581.68</v>
      </c>
      <c r="F322" s="1050"/>
      <c r="G322" s="1063"/>
      <c r="H322" s="1063" t="s">
        <v>672</v>
      </c>
      <c r="I322" s="1024"/>
      <c r="J322" s="1024"/>
      <c r="K322" s="1024"/>
    </row>
    <row r="323" spans="1:11" s="1053" customFormat="1" ht="24">
      <c r="A323" s="1048" t="s">
        <v>682</v>
      </c>
      <c r="B323" s="1049" t="s">
        <v>581</v>
      </c>
      <c r="C323" s="1049" t="s">
        <v>581</v>
      </c>
      <c r="D323" s="1063" t="s">
        <v>683</v>
      </c>
      <c r="E323" s="1050">
        <v>57600</v>
      </c>
      <c r="F323" s="1050"/>
      <c r="G323" s="1063"/>
      <c r="H323" s="1063" t="s">
        <v>672</v>
      </c>
      <c r="I323" s="1024"/>
      <c r="J323" s="1024"/>
      <c r="K323" s="1024"/>
    </row>
    <row r="324" spans="1:11" s="1053" customFormat="1" ht="36">
      <c r="A324" s="1048" t="s">
        <v>684</v>
      </c>
      <c r="B324" s="1049" t="s">
        <v>581</v>
      </c>
      <c r="C324" s="1049" t="s">
        <v>581</v>
      </c>
      <c r="D324" s="1063" t="s">
        <v>685</v>
      </c>
      <c r="E324" s="1050">
        <v>53331.81</v>
      </c>
      <c r="F324" s="1050"/>
      <c r="G324" s="1063"/>
      <c r="H324" s="1063" t="s">
        <v>672</v>
      </c>
      <c r="I324" s="1024"/>
      <c r="J324" s="1024"/>
      <c r="K324" s="1024"/>
    </row>
    <row r="325" spans="1:11" s="952" customFormat="1" ht="20.100000000000001" customHeight="1">
      <c r="A325" s="1044" t="s">
        <v>4676</v>
      </c>
      <c r="B325" s="988"/>
      <c r="C325" s="988"/>
      <c r="D325" s="988"/>
      <c r="E325" s="1095">
        <f>SUM(E326:E341)</f>
        <v>4274964.8</v>
      </c>
      <c r="F325" s="1095"/>
      <c r="G325" s="988"/>
      <c r="H325" s="988"/>
      <c r="I325" s="988"/>
      <c r="J325" s="988"/>
      <c r="K325" s="1045"/>
    </row>
    <row r="326" spans="1:11" s="1053" customFormat="1" ht="24">
      <c r="A326" s="1048" t="s">
        <v>686</v>
      </c>
      <c r="B326" s="1060" t="s">
        <v>581</v>
      </c>
      <c r="C326" s="1060" t="s">
        <v>581</v>
      </c>
      <c r="D326" s="1046"/>
      <c r="E326" s="1062">
        <v>392000</v>
      </c>
      <c r="F326" s="1062"/>
      <c r="G326" s="1047"/>
      <c r="H326" s="1043"/>
      <c r="I326" s="1043"/>
      <c r="J326" s="1043"/>
      <c r="K326" s="1043"/>
    </row>
    <row r="327" spans="1:11" s="1053" customFormat="1" ht="24">
      <c r="A327" s="1048" t="s">
        <v>687</v>
      </c>
      <c r="B327" s="1049" t="s">
        <v>581</v>
      </c>
      <c r="C327" s="1049" t="s">
        <v>581</v>
      </c>
      <c r="D327" s="1040"/>
      <c r="E327" s="1050">
        <v>69000</v>
      </c>
      <c r="F327" s="1050"/>
      <c r="G327" s="1041"/>
      <c r="H327" s="1024"/>
      <c r="I327" s="1024"/>
      <c r="J327" s="1024"/>
      <c r="K327" s="1024"/>
    </row>
    <row r="328" spans="1:11" s="1053" customFormat="1" ht="24">
      <c r="A328" s="1048" t="s">
        <v>688</v>
      </c>
      <c r="B328" s="1049" t="s">
        <v>581</v>
      </c>
      <c r="C328" s="1049" t="s">
        <v>581</v>
      </c>
      <c r="D328" s="1040"/>
      <c r="E328" s="1050">
        <v>80000</v>
      </c>
      <c r="F328" s="1050"/>
      <c r="G328" s="1041"/>
      <c r="H328" s="1024"/>
      <c r="I328" s="1024"/>
      <c r="J328" s="1024"/>
      <c r="K328" s="1024"/>
    </row>
    <row r="329" spans="1:11" s="1053" customFormat="1" ht="24">
      <c r="A329" s="1048" t="s">
        <v>689</v>
      </c>
      <c r="B329" s="1049" t="s">
        <v>581</v>
      </c>
      <c r="C329" s="1049" t="s">
        <v>581</v>
      </c>
      <c r="D329" s="1040"/>
      <c r="E329" s="1050">
        <v>232200</v>
      </c>
      <c r="F329" s="1050"/>
      <c r="G329" s="1041"/>
      <c r="H329" s="1024"/>
      <c r="I329" s="1024"/>
      <c r="J329" s="1024"/>
      <c r="K329" s="1024"/>
    </row>
    <row r="330" spans="1:11" s="1053" customFormat="1" ht="24">
      <c r="A330" s="1048" t="s">
        <v>690</v>
      </c>
      <c r="B330" s="1049" t="s">
        <v>581</v>
      </c>
      <c r="C330" s="1049" t="s">
        <v>581</v>
      </c>
      <c r="D330" s="1040"/>
      <c r="E330" s="1050">
        <v>35000</v>
      </c>
      <c r="F330" s="1050"/>
      <c r="G330" s="1041"/>
      <c r="H330" s="1024"/>
      <c r="I330" s="1024"/>
      <c r="J330" s="1024"/>
      <c r="K330" s="1024"/>
    </row>
    <row r="331" spans="1:11" s="1053" customFormat="1" ht="24">
      <c r="A331" s="1048" t="s">
        <v>673</v>
      </c>
      <c r="B331" s="1049" t="s">
        <v>581</v>
      </c>
      <c r="C331" s="1049" t="s">
        <v>581</v>
      </c>
      <c r="D331" s="1040"/>
      <c r="E331" s="1050">
        <v>90000</v>
      </c>
      <c r="F331" s="1050"/>
      <c r="G331" s="1041"/>
      <c r="H331" s="1024"/>
      <c r="I331" s="1024"/>
      <c r="J331" s="1024"/>
      <c r="K331" s="1024"/>
    </row>
    <row r="332" spans="1:11" s="1053" customFormat="1" ht="24">
      <c r="A332" s="1048" t="s">
        <v>676</v>
      </c>
      <c r="B332" s="1049" t="s">
        <v>581</v>
      </c>
      <c r="C332" s="1049" t="s">
        <v>581</v>
      </c>
      <c r="D332" s="1040"/>
      <c r="E332" s="1050">
        <v>80000</v>
      </c>
      <c r="F332" s="1050"/>
      <c r="G332" s="1041"/>
      <c r="H332" s="1024"/>
      <c r="I332" s="1024"/>
      <c r="J332" s="1024"/>
      <c r="K332" s="1024"/>
    </row>
    <row r="333" spans="1:11" s="1053" customFormat="1" ht="24">
      <c r="A333" s="1048" t="s">
        <v>573</v>
      </c>
      <c r="B333" s="1049" t="s">
        <v>581</v>
      </c>
      <c r="C333" s="1049" t="s">
        <v>581</v>
      </c>
      <c r="D333" s="1040"/>
      <c r="E333" s="1050">
        <v>195493.8</v>
      </c>
      <c r="F333" s="1050"/>
      <c r="G333" s="1041"/>
      <c r="H333" s="1024"/>
      <c r="I333" s="1024"/>
      <c r="J333" s="1024"/>
      <c r="K333" s="1024"/>
    </row>
    <row r="334" spans="1:11" s="1053" customFormat="1" ht="24">
      <c r="A334" s="1048" t="s">
        <v>691</v>
      </c>
      <c r="B334" s="1049" t="s">
        <v>581</v>
      </c>
      <c r="C334" s="1049" t="s">
        <v>581</v>
      </c>
      <c r="D334" s="1040"/>
      <c r="E334" s="1050">
        <v>56050</v>
      </c>
      <c r="F334" s="1050"/>
      <c r="G334" s="1041"/>
      <c r="H334" s="1024"/>
      <c r="I334" s="1024"/>
      <c r="J334" s="1024"/>
      <c r="K334" s="1024"/>
    </row>
    <row r="335" spans="1:11" s="1053" customFormat="1" ht="24">
      <c r="A335" s="1048" t="s">
        <v>692</v>
      </c>
      <c r="B335" s="1049" t="s">
        <v>581</v>
      </c>
      <c r="C335" s="1049" t="s">
        <v>581</v>
      </c>
      <c r="D335" s="1040"/>
      <c r="E335" s="1050">
        <v>42000</v>
      </c>
      <c r="F335" s="1050"/>
      <c r="G335" s="1041"/>
      <c r="H335" s="1024"/>
      <c r="I335" s="1024"/>
      <c r="J335" s="1024"/>
      <c r="K335" s="1024"/>
    </row>
    <row r="336" spans="1:11" s="1053" customFormat="1" ht="24">
      <c r="A336" s="1048" t="s">
        <v>650</v>
      </c>
      <c r="B336" s="1049" t="s">
        <v>581</v>
      </c>
      <c r="C336" s="1049" t="s">
        <v>581</v>
      </c>
      <c r="D336" s="1040"/>
      <c r="E336" s="1050">
        <v>124200</v>
      </c>
      <c r="F336" s="1050"/>
      <c r="G336" s="1041"/>
      <c r="H336" s="1024"/>
      <c r="I336" s="1024"/>
      <c r="J336" s="1024"/>
      <c r="K336" s="1024"/>
    </row>
    <row r="337" spans="1:11" s="1053" customFormat="1" ht="36">
      <c r="A337" s="1048" t="s">
        <v>693</v>
      </c>
      <c r="B337" s="1049" t="s">
        <v>581</v>
      </c>
      <c r="C337" s="1049" t="s">
        <v>581</v>
      </c>
      <c r="D337" s="1040"/>
      <c r="E337" s="1050">
        <v>350001</v>
      </c>
      <c r="F337" s="1050"/>
      <c r="G337" s="1041"/>
      <c r="H337" s="1024"/>
      <c r="I337" s="1024"/>
      <c r="J337" s="1024"/>
      <c r="K337" s="1024"/>
    </row>
    <row r="338" spans="1:11" s="1053" customFormat="1" ht="24">
      <c r="A338" s="1048" t="s">
        <v>694</v>
      </c>
      <c r="B338" s="1049" t="s">
        <v>581</v>
      </c>
      <c r="C338" s="1049" t="s">
        <v>581</v>
      </c>
      <c r="D338" s="1040"/>
      <c r="E338" s="1050">
        <v>327600</v>
      </c>
      <c r="F338" s="1050"/>
      <c r="G338" s="1041"/>
      <c r="H338" s="1024"/>
      <c r="I338" s="1024"/>
      <c r="J338" s="1024"/>
      <c r="K338" s="1024"/>
    </row>
    <row r="339" spans="1:11" s="1053" customFormat="1" ht="15">
      <c r="A339" s="1038" t="s">
        <v>697</v>
      </c>
      <c r="B339" s="1049"/>
      <c r="C339" s="1049"/>
      <c r="D339" s="1040"/>
      <c r="E339" s="1050"/>
      <c r="F339" s="1050"/>
      <c r="G339" s="1041"/>
      <c r="H339" s="1024"/>
      <c r="I339" s="1024"/>
      <c r="J339" s="1024"/>
      <c r="K339" s="1024"/>
    </row>
    <row r="340" spans="1:11" s="1053" customFormat="1" ht="24">
      <c r="A340" s="1048" t="s">
        <v>695</v>
      </c>
      <c r="B340" s="1049" t="s">
        <v>581</v>
      </c>
      <c r="C340" s="1049" t="s">
        <v>581</v>
      </c>
      <c r="D340" s="1040"/>
      <c r="E340" s="1050">
        <v>303138</v>
      </c>
      <c r="F340" s="1050"/>
      <c r="G340" s="1041"/>
      <c r="H340" s="1024"/>
      <c r="I340" s="1024"/>
      <c r="J340" s="1024"/>
      <c r="K340" s="1024"/>
    </row>
    <row r="341" spans="1:11" s="1053" customFormat="1" ht="24">
      <c r="A341" s="1064" t="s">
        <v>696</v>
      </c>
      <c r="B341" s="1049" t="s">
        <v>616</v>
      </c>
      <c r="C341" s="1049" t="s">
        <v>616</v>
      </c>
      <c r="D341" s="1065"/>
      <c r="E341" s="1057">
        <v>1898282</v>
      </c>
      <c r="F341" s="1057"/>
      <c r="G341" s="1066"/>
      <c r="H341" s="1042"/>
      <c r="I341" s="1042"/>
      <c r="J341" s="1042"/>
      <c r="K341" s="1042"/>
    </row>
    <row r="342" spans="1:11" s="952" customFormat="1" ht="18.75" customHeight="1">
      <c r="A342" s="1032" t="s">
        <v>4796</v>
      </c>
      <c r="B342" s="1032"/>
      <c r="C342" s="1032"/>
      <c r="D342" s="1032"/>
      <c r="E342" s="1067">
        <f>+E325+E317+E289</f>
        <v>12652301.99</v>
      </c>
      <c r="F342" s="1067"/>
      <c r="G342" s="1032"/>
      <c r="H342" s="1033"/>
      <c r="I342" s="1033"/>
      <c r="J342" s="1033"/>
      <c r="K342" s="1033"/>
    </row>
    <row r="343" spans="1:11" s="1053" customFormat="1" ht="18" customHeight="1">
      <c r="A343" s="1100" t="s">
        <v>84</v>
      </c>
      <c r="B343" s="1101"/>
      <c r="C343" s="1101"/>
      <c r="D343" s="1101"/>
      <c r="E343" s="1103">
        <f>+E342+E285+E215</f>
        <v>129972591.21000001</v>
      </c>
      <c r="F343" s="1103"/>
      <c r="G343" s="1101"/>
      <c r="H343" s="1101"/>
      <c r="I343" s="1101"/>
      <c r="J343" s="1101"/>
      <c r="K343" s="1102"/>
    </row>
    <row r="347" spans="1:11" s="952" customFormat="1" ht="12"/>
    <row r="348" spans="1:11" s="952" customFormat="1" ht="12"/>
    <row r="349" spans="1:11" s="952" customFormat="1" ht="12"/>
    <row r="350" spans="1:11" s="952" customFormat="1" ht="12"/>
    <row r="351" spans="1:11" s="952" customFormat="1" ht="12"/>
    <row r="352" spans="1:11" s="952" customFormat="1" ht="12"/>
    <row r="353" s="952" customFormat="1" ht="12"/>
    <row r="354" s="952" customFormat="1" ht="12"/>
    <row r="355" s="952" customFormat="1" ht="12"/>
    <row r="356" s="952" customFormat="1" ht="12"/>
    <row r="357" s="952" customFormat="1" ht="12"/>
    <row r="358" s="952" customFormat="1" ht="12"/>
    <row r="359" s="952" customFormat="1" ht="12"/>
  </sheetData>
  <phoneticPr fontId="14" type="noConversion"/>
  <printOptions horizontalCentered="1"/>
  <pageMargins left="0" right="0" top="0.74803149606299213" bottom="0.55118110236220474" header="0.31496062992125984" footer="0.31496062992125984"/>
  <pageSetup paperSize="9" scale="65" orientation="landscape" r:id="rId1"/>
  <headerFooter alignWithMargins="0">
    <oddHeader>&amp;C&amp;"Arial,Negrita"&amp;18PROYECTO DE PRESUPUESTO 2021</oddHeader>
    <oddFooter>&amp;L&amp;"Arial,Negrita"&amp;8PROYECTO DE PRESUPUESTO PARA EL AÑO FISCAL 2021
INFORMACIÓN PARA LA COMISIÓN DE PRESUPUESTO Y CUENTA GENERAL DE LA REPÚBLICA DEL CONGRESO DE LA REPÚBLICA&amp;R&amp;P</oddFooter>
  </headerFooter>
  <rowBreaks count="17" manualBreakCount="17">
    <brk id="20" max="16383" man="1"/>
    <brk id="39" max="16383" man="1"/>
    <brk id="54" max="16383" man="1"/>
    <brk id="86" max="16383" man="1"/>
    <brk id="96" max="16383" man="1"/>
    <brk id="113" max="16383" man="1"/>
    <brk id="130" max="16383" man="1"/>
    <brk id="152" max="16383" man="1"/>
    <brk id="171" max="16383" man="1"/>
    <brk id="186" max="16383" man="1"/>
    <brk id="203" max="16383" man="1"/>
    <brk id="216" max="16383" man="1"/>
    <brk id="235" max="16383" man="1"/>
    <brk id="256" max="16383" man="1"/>
    <brk id="287" max="16383" man="1"/>
    <brk id="312" max="16383" man="1"/>
    <brk id="338" max="16383" man="1"/>
  </rowBreaks>
  <ignoredErrors>
    <ignoredError sqref="F132:F134 F99:F113 F115:F13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31">
    <tabColor theme="8" tint="-0.249977111117893"/>
  </sheetPr>
  <dimension ref="A1:W275"/>
  <sheetViews>
    <sheetView showGridLines="0" view="pageBreakPreview" topLeftCell="A191" zoomScaleNormal="100" zoomScaleSheetLayoutView="100" zoomScalePageLayoutView="85" workbookViewId="0">
      <selection activeCell="D206" sqref="D206"/>
    </sheetView>
  </sheetViews>
  <sheetFormatPr baseColWidth="10" defaultColWidth="11.42578125" defaultRowHeight="11.25"/>
  <cols>
    <col min="1" max="1" width="78.140625" style="412" customWidth="1"/>
    <col min="2" max="2" width="17.7109375" style="412" customWidth="1"/>
    <col min="3" max="3" width="17.140625" style="412" customWidth="1"/>
    <col min="4" max="4" width="22" style="412" customWidth="1"/>
    <col min="5" max="5" width="20.7109375" style="412" customWidth="1"/>
    <col min="6" max="6" width="29.85546875" style="412" customWidth="1"/>
    <col min="7" max="7" width="39.5703125" style="412" customWidth="1"/>
    <col min="8" max="8" width="23.5703125" style="412" customWidth="1"/>
    <col min="9" max="16384" width="11.42578125" style="412"/>
  </cols>
  <sheetData>
    <row r="1" spans="1:23" s="408" customFormat="1">
      <c r="A1" s="407" t="s">
        <v>410</v>
      </c>
      <c r="B1" s="407"/>
      <c r="C1" s="407"/>
      <c r="D1" s="407"/>
      <c r="E1" s="407"/>
      <c r="F1" s="407"/>
      <c r="G1" s="407"/>
    </row>
    <row r="2" spans="1:23" s="408" customFormat="1">
      <c r="A2" s="407" t="s">
        <v>746</v>
      </c>
      <c r="B2" s="407"/>
      <c r="C2" s="407"/>
      <c r="D2" s="407"/>
      <c r="E2" s="407"/>
      <c r="F2" s="407"/>
      <c r="G2" s="407"/>
      <c r="H2" s="407"/>
      <c r="I2" s="407"/>
      <c r="J2" s="407"/>
      <c r="K2" s="407"/>
      <c r="L2" s="407"/>
      <c r="M2" s="407"/>
      <c r="N2" s="407"/>
      <c r="O2" s="407"/>
      <c r="P2" s="407"/>
      <c r="Q2" s="407"/>
      <c r="R2" s="407"/>
      <c r="S2" s="407"/>
      <c r="T2" s="407"/>
      <c r="U2" s="407"/>
      <c r="V2" s="407"/>
      <c r="W2" s="407"/>
    </row>
    <row r="3" spans="1:23" ht="12.75" thickBot="1">
      <c r="A3" s="599" t="s">
        <v>745</v>
      </c>
      <c r="B3" s="410"/>
      <c r="C3" s="410"/>
      <c r="D3" s="411"/>
      <c r="E3" s="411"/>
      <c r="F3" s="411"/>
    </row>
    <row r="4" spans="1:23" ht="12" thickBot="1">
      <c r="A4" s="1748" t="s">
        <v>42</v>
      </c>
      <c r="B4" s="1750" t="s">
        <v>337</v>
      </c>
      <c r="C4" s="1750" t="s">
        <v>338</v>
      </c>
      <c r="D4" s="564" t="s">
        <v>374</v>
      </c>
      <c r="E4" s="564" t="s">
        <v>334</v>
      </c>
      <c r="F4" s="563" t="s">
        <v>1289</v>
      </c>
      <c r="G4" s="1748" t="s">
        <v>57</v>
      </c>
      <c r="H4" s="1748" t="s">
        <v>120</v>
      </c>
    </row>
    <row r="5" spans="1:23" ht="12.75" customHeight="1" thickBot="1">
      <c r="A5" s="1749"/>
      <c r="B5" s="1751"/>
      <c r="C5" s="1751"/>
      <c r="D5" s="562" t="s">
        <v>333</v>
      </c>
      <c r="E5" s="562" t="s">
        <v>333</v>
      </c>
      <c r="F5" s="562" t="s">
        <v>333</v>
      </c>
      <c r="G5" s="1752"/>
      <c r="H5" s="1752"/>
    </row>
    <row r="6" spans="1:23" ht="21" customHeight="1" thickBot="1">
      <c r="A6" s="561" t="s">
        <v>914</v>
      </c>
      <c r="B6" s="560"/>
      <c r="C6" s="560"/>
      <c r="D6" s="559"/>
      <c r="E6" s="559"/>
      <c r="F6" s="559"/>
      <c r="G6" s="559"/>
      <c r="H6" s="580"/>
      <c r="I6" s="581"/>
      <c r="J6" s="421"/>
      <c r="K6" s="421"/>
      <c r="L6" s="421"/>
      <c r="M6" s="421"/>
      <c r="N6" s="421"/>
      <c r="O6" s="421"/>
      <c r="P6" s="421"/>
      <c r="Q6" s="421"/>
      <c r="R6" s="421"/>
      <c r="S6" s="421"/>
      <c r="T6" s="421"/>
      <c r="U6" s="421"/>
      <c r="V6" s="421"/>
      <c r="W6" s="421"/>
    </row>
    <row r="7" spans="1:23" ht="31.5">
      <c r="A7" s="558" t="s">
        <v>915</v>
      </c>
      <c r="B7" s="557" t="s">
        <v>916</v>
      </c>
      <c r="C7" s="557" t="s">
        <v>782</v>
      </c>
      <c r="D7" s="556">
        <v>18000</v>
      </c>
      <c r="E7" s="555" t="s">
        <v>782</v>
      </c>
      <c r="F7" s="555" t="s">
        <v>782</v>
      </c>
      <c r="G7" s="554" t="s">
        <v>917</v>
      </c>
      <c r="H7" s="557" t="s">
        <v>918</v>
      </c>
      <c r="I7" s="553"/>
      <c r="J7" s="553"/>
      <c r="K7" s="553"/>
      <c r="L7" s="553"/>
      <c r="M7" s="553"/>
      <c r="N7" s="553"/>
      <c r="O7" s="553"/>
      <c r="P7" s="553"/>
      <c r="Q7" s="553"/>
      <c r="R7" s="553"/>
      <c r="S7" s="553"/>
      <c r="T7" s="553"/>
      <c r="U7" s="553"/>
      <c r="V7" s="553"/>
      <c r="W7" s="553"/>
    </row>
    <row r="8" spans="1:23" ht="21">
      <c r="A8" s="552" t="s">
        <v>919</v>
      </c>
      <c r="B8" s="551" t="s">
        <v>782</v>
      </c>
      <c r="C8" s="551">
        <v>43747103</v>
      </c>
      <c r="D8" s="550">
        <v>33000</v>
      </c>
      <c r="E8" s="547" t="s">
        <v>782</v>
      </c>
      <c r="F8" s="547" t="s">
        <v>782</v>
      </c>
      <c r="G8" s="549" t="s">
        <v>920</v>
      </c>
      <c r="H8" s="551" t="s">
        <v>921</v>
      </c>
      <c r="I8" s="553"/>
      <c r="J8" s="553"/>
      <c r="K8" s="553"/>
      <c r="L8" s="553"/>
      <c r="M8" s="553"/>
      <c r="N8" s="553"/>
      <c r="O8" s="553"/>
      <c r="P8" s="553"/>
      <c r="Q8" s="553"/>
      <c r="R8" s="553"/>
      <c r="S8" s="553"/>
      <c r="T8" s="553"/>
      <c r="U8" s="553"/>
      <c r="V8" s="553"/>
      <c r="W8" s="553"/>
    </row>
    <row r="9" spans="1:23" ht="31.5">
      <c r="A9" s="552" t="s">
        <v>922</v>
      </c>
      <c r="B9" s="551" t="s">
        <v>782</v>
      </c>
      <c r="C9" s="551">
        <v>44428740</v>
      </c>
      <c r="D9" s="550">
        <v>18000</v>
      </c>
      <c r="E9" s="547" t="s">
        <v>782</v>
      </c>
      <c r="F9" s="547" t="s">
        <v>782</v>
      </c>
      <c r="G9" s="549" t="s">
        <v>923</v>
      </c>
      <c r="H9" s="551" t="s">
        <v>918</v>
      </c>
      <c r="I9" s="553"/>
      <c r="J9" s="553"/>
      <c r="K9" s="553"/>
      <c r="L9" s="553"/>
      <c r="M9" s="553"/>
      <c r="N9" s="553"/>
      <c r="O9" s="553"/>
      <c r="P9" s="553"/>
      <c r="Q9" s="553"/>
      <c r="R9" s="553"/>
      <c r="S9" s="553"/>
      <c r="T9" s="553"/>
      <c r="U9" s="553"/>
      <c r="V9" s="553"/>
      <c r="W9" s="553"/>
    </row>
    <row r="10" spans="1:23" ht="21">
      <c r="A10" s="552" t="s">
        <v>924</v>
      </c>
      <c r="B10" s="551" t="s">
        <v>925</v>
      </c>
      <c r="C10" s="551" t="s">
        <v>782</v>
      </c>
      <c r="D10" s="550">
        <v>15000</v>
      </c>
      <c r="E10" s="547" t="s">
        <v>782</v>
      </c>
      <c r="F10" s="547" t="s">
        <v>782</v>
      </c>
      <c r="G10" s="549" t="s">
        <v>917</v>
      </c>
      <c r="H10" s="551" t="s">
        <v>926</v>
      </c>
      <c r="I10" s="553"/>
      <c r="J10" s="553"/>
      <c r="K10" s="553"/>
      <c r="L10" s="553"/>
      <c r="M10" s="553"/>
      <c r="N10" s="553"/>
      <c r="O10" s="553"/>
      <c r="P10" s="553"/>
      <c r="Q10" s="553"/>
      <c r="R10" s="553"/>
      <c r="S10" s="553"/>
      <c r="T10" s="553"/>
      <c r="U10" s="553"/>
      <c r="V10" s="553"/>
      <c r="W10" s="553"/>
    </row>
    <row r="11" spans="1:23" ht="21">
      <c r="A11" s="552" t="s">
        <v>927</v>
      </c>
      <c r="B11" s="551" t="s">
        <v>782</v>
      </c>
      <c r="C11" s="551">
        <v>7082746</v>
      </c>
      <c r="D11" s="550">
        <v>15000</v>
      </c>
      <c r="E11" s="547" t="s">
        <v>782</v>
      </c>
      <c r="F11" s="547" t="s">
        <v>782</v>
      </c>
      <c r="G11" s="549" t="s">
        <v>920</v>
      </c>
      <c r="H11" s="551" t="s">
        <v>921</v>
      </c>
      <c r="I11" s="553"/>
      <c r="J11" s="553"/>
      <c r="K11" s="553"/>
      <c r="L11" s="553"/>
      <c r="M11" s="553"/>
      <c r="N11" s="553"/>
      <c r="O11" s="553"/>
      <c r="P11" s="553"/>
      <c r="Q11" s="553"/>
      <c r="R11" s="553"/>
      <c r="S11" s="553"/>
      <c r="T11" s="553"/>
      <c r="U11" s="553"/>
      <c r="V11" s="553"/>
      <c r="W11" s="553"/>
    </row>
    <row r="12" spans="1:23" ht="21">
      <c r="A12" s="552" t="s">
        <v>928</v>
      </c>
      <c r="B12" s="551" t="s">
        <v>782</v>
      </c>
      <c r="C12" s="548" t="s">
        <v>929</v>
      </c>
      <c r="D12" s="550">
        <v>15000</v>
      </c>
      <c r="E12" s="547" t="s">
        <v>782</v>
      </c>
      <c r="F12" s="547" t="s">
        <v>782</v>
      </c>
      <c r="G12" s="549" t="s">
        <v>923</v>
      </c>
      <c r="H12" s="551" t="s">
        <v>918</v>
      </c>
      <c r="I12" s="553"/>
      <c r="J12" s="553"/>
      <c r="K12" s="553"/>
      <c r="L12" s="553"/>
      <c r="M12" s="553"/>
      <c r="N12" s="553"/>
      <c r="O12" s="553"/>
      <c r="P12" s="553"/>
      <c r="Q12" s="553"/>
      <c r="R12" s="553"/>
      <c r="S12" s="553"/>
      <c r="T12" s="553"/>
      <c r="U12" s="553"/>
      <c r="V12" s="553"/>
      <c r="W12" s="553"/>
    </row>
    <row r="13" spans="1:23" ht="21">
      <c r="A13" s="552" t="s">
        <v>930</v>
      </c>
      <c r="B13" s="551" t="s">
        <v>931</v>
      </c>
      <c r="C13" s="551" t="s">
        <v>782</v>
      </c>
      <c r="D13" s="550">
        <v>31800</v>
      </c>
      <c r="E13" s="547" t="s">
        <v>782</v>
      </c>
      <c r="F13" s="547" t="s">
        <v>782</v>
      </c>
      <c r="G13" s="549" t="s">
        <v>917</v>
      </c>
      <c r="H13" s="565" t="s">
        <v>918</v>
      </c>
      <c r="I13" s="553"/>
      <c r="J13" s="553"/>
      <c r="K13" s="553"/>
      <c r="L13" s="553"/>
      <c r="M13" s="553"/>
      <c r="N13" s="553"/>
      <c r="O13" s="553"/>
      <c r="P13" s="553"/>
      <c r="Q13" s="553"/>
      <c r="R13" s="553"/>
      <c r="S13" s="553"/>
      <c r="T13" s="553"/>
      <c r="U13" s="553"/>
      <c r="V13" s="553"/>
      <c r="W13" s="553"/>
    </row>
    <row r="14" spans="1:23" ht="31.5">
      <c r="A14" s="552" t="s">
        <v>932</v>
      </c>
      <c r="B14" s="551" t="s">
        <v>782</v>
      </c>
      <c r="C14" s="548" t="s">
        <v>933</v>
      </c>
      <c r="D14" s="550">
        <v>30000</v>
      </c>
      <c r="E14" s="547" t="s">
        <v>782</v>
      </c>
      <c r="F14" s="547" t="s">
        <v>782</v>
      </c>
      <c r="G14" s="549" t="s">
        <v>920</v>
      </c>
      <c r="H14" s="551" t="s">
        <v>921</v>
      </c>
      <c r="I14" s="553"/>
      <c r="J14" s="553"/>
      <c r="K14" s="553"/>
      <c r="L14" s="553"/>
      <c r="M14" s="553"/>
      <c r="N14" s="553"/>
      <c r="O14" s="553"/>
      <c r="P14" s="553"/>
      <c r="Q14" s="553"/>
      <c r="R14" s="553"/>
      <c r="S14" s="553"/>
      <c r="T14" s="553"/>
      <c r="U14" s="553"/>
      <c r="V14" s="553"/>
      <c r="W14" s="553"/>
    </row>
    <row r="15" spans="1:23" ht="21">
      <c r="A15" s="552" t="s">
        <v>934</v>
      </c>
      <c r="B15" s="551" t="s">
        <v>782</v>
      </c>
      <c r="C15" s="548" t="s">
        <v>935</v>
      </c>
      <c r="D15" s="550">
        <v>15600</v>
      </c>
      <c r="E15" s="547" t="s">
        <v>782</v>
      </c>
      <c r="F15" s="547" t="s">
        <v>782</v>
      </c>
      <c r="G15" s="549" t="s">
        <v>920</v>
      </c>
      <c r="H15" s="551" t="s">
        <v>921</v>
      </c>
      <c r="I15" s="553"/>
      <c r="J15" s="553"/>
      <c r="K15" s="553"/>
      <c r="L15" s="553"/>
      <c r="M15" s="553"/>
      <c r="N15" s="553"/>
      <c r="O15" s="553"/>
      <c r="P15" s="553"/>
      <c r="Q15" s="553"/>
      <c r="R15" s="553"/>
      <c r="S15" s="553"/>
      <c r="T15" s="553"/>
      <c r="U15" s="553"/>
      <c r="V15" s="553"/>
      <c r="W15" s="553"/>
    </row>
    <row r="16" spans="1:23" ht="16.5" customHeight="1">
      <c r="A16" s="552" t="s">
        <v>936</v>
      </c>
      <c r="B16" s="551" t="s">
        <v>937</v>
      </c>
      <c r="C16" s="548" t="s">
        <v>782</v>
      </c>
      <c r="D16" s="550">
        <v>30000</v>
      </c>
      <c r="E16" s="547" t="s">
        <v>782</v>
      </c>
      <c r="F16" s="547" t="s">
        <v>782</v>
      </c>
      <c r="G16" s="549" t="s">
        <v>917</v>
      </c>
      <c r="H16" s="566" t="s">
        <v>926</v>
      </c>
      <c r="I16" s="553"/>
      <c r="J16" s="553"/>
      <c r="K16" s="553"/>
      <c r="L16" s="553"/>
      <c r="M16" s="553"/>
      <c r="N16" s="553"/>
      <c r="O16" s="553"/>
      <c r="P16" s="553"/>
      <c r="Q16" s="553"/>
      <c r="R16" s="553"/>
      <c r="S16" s="553"/>
      <c r="T16" s="553"/>
      <c r="U16" s="553"/>
      <c r="V16" s="553"/>
      <c r="W16" s="553"/>
    </row>
    <row r="17" spans="1:8" ht="21">
      <c r="A17" s="552" t="s">
        <v>938</v>
      </c>
      <c r="B17" s="551" t="s">
        <v>782</v>
      </c>
      <c r="C17" s="548" t="s">
        <v>939</v>
      </c>
      <c r="D17" s="550">
        <v>15000</v>
      </c>
      <c r="E17" s="547" t="s">
        <v>782</v>
      </c>
      <c r="F17" s="547" t="s">
        <v>782</v>
      </c>
      <c r="G17" s="549" t="s">
        <v>923</v>
      </c>
      <c r="H17" s="551" t="s">
        <v>918</v>
      </c>
    </row>
    <row r="18" spans="1:8" ht="52.5">
      <c r="A18" s="552" t="s">
        <v>940</v>
      </c>
      <c r="B18" s="551" t="s">
        <v>925</v>
      </c>
      <c r="C18" s="548" t="s">
        <v>782</v>
      </c>
      <c r="D18" s="550">
        <v>7750</v>
      </c>
      <c r="E18" s="547" t="s">
        <v>782</v>
      </c>
      <c r="F18" s="547" t="s">
        <v>782</v>
      </c>
      <c r="G18" s="549" t="s">
        <v>917</v>
      </c>
      <c r="H18" s="551" t="s">
        <v>926</v>
      </c>
    </row>
    <row r="19" spans="1:8" ht="21">
      <c r="A19" s="552" t="s">
        <v>941</v>
      </c>
      <c r="B19" s="551" t="s">
        <v>942</v>
      </c>
      <c r="C19" s="548" t="s">
        <v>782</v>
      </c>
      <c r="D19" s="550">
        <v>27000</v>
      </c>
      <c r="E19" s="547" t="s">
        <v>782</v>
      </c>
      <c r="F19" s="547" t="s">
        <v>782</v>
      </c>
      <c r="G19" s="549" t="s">
        <v>917</v>
      </c>
      <c r="H19" s="566" t="s">
        <v>926</v>
      </c>
    </row>
    <row r="20" spans="1:8" ht="31.5">
      <c r="A20" s="552" t="s">
        <v>943</v>
      </c>
      <c r="B20" s="551" t="s">
        <v>944</v>
      </c>
      <c r="C20" s="548" t="s">
        <v>782</v>
      </c>
      <c r="D20" s="550">
        <v>29000</v>
      </c>
      <c r="E20" s="547" t="s">
        <v>782</v>
      </c>
      <c r="F20" s="547" t="s">
        <v>782</v>
      </c>
      <c r="G20" s="549" t="s">
        <v>917</v>
      </c>
      <c r="H20" s="551" t="s">
        <v>918</v>
      </c>
    </row>
    <row r="21" spans="1:8" ht="31.5">
      <c r="A21" s="552" t="s">
        <v>945</v>
      </c>
      <c r="B21" s="551" t="s">
        <v>946</v>
      </c>
      <c r="C21" s="548" t="s">
        <v>782</v>
      </c>
      <c r="D21" s="550">
        <v>28202</v>
      </c>
      <c r="E21" s="547" t="s">
        <v>782</v>
      </c>
      <c r="F21" s="547" t="s">
        <v>782</v>
      </c>
      <c r="G21" s="549" t="s">
        <v>917</v>
      </c>
      <c r="H21" s="551" t="s">
        <v>926</v>
      </c>
    </row>
    <row r="22" spans="1:8" ht="21">
      <c r="A22" s="552" t="s">
        <v>947</v>
      </c>
      <c r="B22" s="551" t="s">
        <v>948</v>
      </c>
      <c r="C22" s="548" t="s">
        <v>782</v>
      </c>
      <c r="D22" s="550">
        <v>31000</v>
      </c>
      <c r="E22" s="547" t="s">
        <v>782</v>
      </c>
      <c r="F22" s="547" t="s">
        <v>782</v>
      </c>
      <c r="G22" s="549" t="s">
        <v>917</v>
      </c>
      <c r="H22" s="551" t="s">
        <v>926</v>
      </c>
    </row>
    <row r="23" spans="1:8" ht="31.5">
      <c r="A23" s="552" t="s">
        <v>949</v>
      </c>
      <c r="B23" s="551" t="s">
        <v>950</v>
      </c>
      <c r="C23" s="548" t="s">
        <v>782</v>
      </c>
      <c r="D23" s="550">
        <v>21240</v>
      </c>
      <c r="E23" s="547" t="s">
        <v>782</v>
      </c>
      <c r="F23" s="547" t="s">
        <v>782</v>
      </c>
      <c r="G23" s="549" t="s">
        <v>917</v>
      </c>
      <c r="H23" s="566" t="s">
        <v>921</v>
      </c>
    </row>
    <row r="24" spans="1:8" ht="21">
      <c r="A24" s="552" t="s">
        <v>951</v>
      </c>
      <c r="B24" s="551" t="s">
        <v>952</v>
      </c>
      <c r="C24" s="548" t="s">
        <v>782</v>
      </c>
      <c r="D24" s="550">
        <v>32000</v>
      </c>
      <c r="E24" s="547" t="s">
        <v>782</v>
      </c>
      <c r="F24" s="547" t="s">
        <v>782</v>
      </c>
      <c r="G24" s="549" t="s">
        <v>917</v>
      </c>
      <c r="H24" s="551" t="s">
        <v>918</v>
      </c>
    </row>
    <row r="25" spans="1:8" ht="18" customHeight="1">
      <c r="A25" s="552" t="s">
        <v>953</v>
      </c>
      <c r="B25" s="551" t="s">
        <v>782</v>
      </c>
      <c r="C25" s="548" t="s">
        <v>954</v>
      </c>
      <c r="D25" s="550">
        <v>15600</v>
      </c>
      <c r="E25" s="547" t="s">
        <v>782</v>
      </c>
      <c r="F25" s="547" t="s">
        <v>782</v>
      </c>
      <c r="G25" s="549" t="s">
        <v>920</v>
      </c>
      <c r="H25" s="566" t="s">
        <v>921</v>
      </c>
    </row>
    <row r="26" spans="1:8" ht="21">
      <c r="A26" s="552" t="s">
        <v>955</v>
      </c>
      <c r="B26" s="551" t="s">
        <v>956</v>
      </c>
      <c r="C26" s="548" t="s">
        <v>782</v>
      </c>
      <c r="D26" s="550">
        <v>268750</v>
      </c>
      <c r="E26" s="547" t="s">
        <v>782</v>
      </c>
      <c r="F26" s="547" t="s">
        <v>782</v>
      </c>
      <c r="G26" s="549" t="s">
        <v>917</v>
      </c>
      <c r="H26" s="551" t="s">
        <v>918</v>
      </c>
    </row>
    <row r="27" spans="1:8" ht="21">
      <c r="A27" s="552" t="s">
        <v>957</v>
      </c>
      <c r="B27" s="551" t="s">
        <v>958</v>
      </c>
      <c r="C27" s="548" t="s">
        <v>782</v>
      </c>
      <c r="D27" s="550">
        <v>30000</v>
      </c>
      <c r="E27" s="547" t="s">
        <v>782</v>
      </c>
      <c r="F27" s="547" t="s">
        <v>782</v>
      </c>
      <c r="G27" s="549" t="s">
        <v>917</v>
      </c>
      <c r="H27" s="565" t="s">
        <v>918</v>
      </c>
    </row>
    <row r="28" spans="1:8" ht="31.5">
      <c r="A28" s="552" t="s">
        <v>959</v>
      </c>
      <c r="B28" s="551" t="s">
        <v>937</v>
      </c>
      <c r="C28" s="548" t="s">
        <v>782</v>
      </c>
      <c r="D28" s="550">
        <v>30000</v>
      </c>
      <c r="E28" s="547" t="s">
        <v>782</v>
      </c>
      <c r="F28" s="547" t="s">
        <v>782</v>
      </c>
      <c r="G28" s="549" t="s">
        <v>917</v>
      </c>
      <c r="H28" s="551" t="s">
        <v>926</v>
      </c>
    </row>
    <row r="29" spans="1:8" ht="15" customHeight="1">
      <c r="A29" s="552" t="s">
        <v>960</v>
      </c>
      <c r="B29" s="551" t="s">
        <v>782</v>
      </c>
      <c r="C29" s="548" t="s">
        <v>961</v>
      </c>
      <c r="D29" s="550">
        <v>15000</v>
      </c>
      <c r="E29" s="547" t="s">
        <v>782</v>
      </c>
      <c r="F29" s="547" t="s">
        <v>782</v>
      </c>
      <c r="G29" s="549" t="s">
        <v>923</v>
      </c>
      <c r="H29" s="551" t="s">
        <v>921</v>
      </c>
    </row>
    <row r="30" spans="1:8" ht="21">
      <c r="A30" s="552" t="s">
        <v>962</v>
      </c>
      <c r="B30" s="551" t="s">
        <v>958</v>
      </c>
      <c r="C30" s="548" t="s">
        <v>782</v>
      </c>
      <c r="D30" s="550">
        <v>32000</v>
      </c>
      <c r="E30" s="547" t="s">
        <v>782</v>
      </c>
      <c r="F30" s="547" t="s">
        <v>782</v>
      </c>
      <c r="G30" s="549" t="s">
        <v>917</v>
      </c>
      <c r="H30" s="551" t="s">
        <v>918</v>
      </c>
    </row>
    <row r="31" spans="1:8" ht="21">
      <c r="A31" s="552" t="s">
        <v>963</v>
      </c>
      <c r="B31" s="551" t="s">
        <v>958</v>
      </c>
      <c r="C31" s="548" t="s">
        <v>782</v>
      </c>
      <c r="D31" s="550">
        <v>16800</v>
      </c>
      <c r="E31" s="547" t="s">
        <v>782</v>
      </c>
      <c r="F31" s="547" t="s">
        <v>782</v>
      </c>
      <c r="G31" s="549" t="s">
        <v>917</v>
      </c>
      <c r="H31" s="551" t="s">
        <v>918</v>
      </c>
    </row>
    <row r="32" spans="1:8" ht="31.5">
      <c r="A32" s="552" t="s">
        <v>964</v>
      </c>
      <c r="B32" s="551" t="s">
        <v>958</v>
      </c>
      <c r="C32" s="548" t="s">
        <v>782</v>
      </c>
      <c r="D32" s="550">
        <v>16800</v>
      </c>
      <c r="E32" s="547" t="s">
        <v>782</v>
      </c>
      <c r="F32" s="547" t="s">
        <v>782</v>
      </c>
      <c r="G32" s="549" t="s">
        <v>917</v>
      </c>
      <c r="H32" s="551" t="s">
        <v>918</v>
      </c>
    </row>
    <row r="33" spans="1:8" ht="31.5">
      <c r="A33" s="552" t="s">
        <v>965</v>
      </c>
      <c r="B33" s="551" t="s">
        <v>944</v>
      </c>
      <c r="C33" s="548" t="s">
        <v>782</v>
      </c>
      <c r="D33" s="550">
        <v>28500</v>
      </c>
      <c r="E33" s="547" t="s">
        <v>782</v>
      </c>
      <c r="F33" s="547" t="s">
        <v>782</v>
      </c>
      <c r="G33" s="549" t="s">
        <v>917</v>
      </c>
      <c r="H33" s="551" t="s">
        <v>918</v>
      </c>
    </row>
    <row r="34" spans="1:8" ht="21">
      <c r="A34" s="552" t="s">
        <v>966</v>
      </c>
      <c r="B34" s="551" t="s">
        <v>967</v>
      </c>
      <c r="C34" s="548" t="s">
        <v>782</v>
      </c>
      <c r="D34" s="550">
        <v>32900</v>
      </c>
      <c r="E34" s="547" t="s">
        <v>782</v>
      </c>
      <c r="F34" s="547" t="s">
        <v>782</v>
      </c>
      <c r="G34" s="549" t="s">
        <v>917</v>
      </c>
      <c r="H34" s="551" t="s">
        <v>921</v>
      </c>
    </row>
    <row r="35" spans="1:8" ht="21">
      <c r="A35" s="552" t="s">
        <v>968</v>
      </c>
      <c r="B35" s="551" t="s">
        <v>782</v>
      </c>
      <c r="C35" s="548" t="s">
        <v>969</v>
      </c>
      <c r="D35" s="550">
        <v>10000</v>
      </c>
      <c r="E35" s="547" t="s">
        <v>782</v>
      </c>
      <c r="F35" s="547" t="s">
        <v>782</v>
      </c>
      <c r="G35" s="549" t="s">
        <v>923</v>
      </c>
      <c r="H35" s="551" t="s">
        <v>918</v>
      </c>
    </row>
    <row r="36" spans="1:8" ht="21">
      <c r="A36" s="552" t="s">
        <v>970</v>
      </c>
      <c r="B36" s="551" t="s">
        <v>971</v>
      </c>
      <c r="C36" s="548" t="s">
        <v>782</v>
      </c>
      <c r="D36" s="550">
        <v>20000</v>
      </c>
      <c r="E36" s="547" t="s">
        <v>782</v>
      </c>
      <c r="F36" s="547" t="s">
        <v>782</v>
      </c>
      <c r="G36" s="549" t="s">
        <v>917</v>
      </c>
      <c r="H36" s="551" t="s">
        <v>918</v>
      </c>
    </row>
    <row r="37" spans="1:8" ht="31.5">
      <c r="A37" s="552" t="s">
        <v>972</v>
      </c>
      <c r="B37" s="551" t="s">
        <v>950</v>
      </c>
      <c r="C37" s="548" t="s">
        <v>782</v>
      </c>
      <c r="D37" s="550">
        <v>29500</v>
      </c>
      <c r="E37" s="547" t="s">
        <v>782</v>
      </c>
      <c r="F37" s="547" t="s">
        <v>782</v>
      </c>
      <c r="G37" s="549" t="s">
        <v>917</v>
      </c>
      <c r="H37" s="551" t="s">
        <v>926</v>
      </c>
    </row>
    <row r="38" spans="1:8" s="658" customFormat="1">
      <c r="D38" s="664">
        <f>SUM(D7:D37)</f>
        <v>958442</v>
      </c>
      <c r="E38" s="664">
        <f t="shared" ref="E38:F38" si="0">SUM(E7:E37)</f>
        <v>0</v>
      </c>
      <c r="F38" s="664">
        <f t="shared" si="0"/>
        <v>0</v>
      </c>
    </row>
    <row r="40" spans="1:8" ht="12.75" thickBot="1">
      <c r="A40" s="599" t="s">
        <v>745</v>
      </c>
      <c r="B40" s="569"/>
      <c r="C40" s="570"/>
      <c r="D40" s="573"/>
      <c r="E40" s="571"/>
      <c r="F40" s="571"/>
      <c r="G40" s="574"/>
      <c r="H40" s="569"/>
    </row>
    <row r="41" spans="1:8" ht="12" thickBot="1">
      <c r="A41" s="1748" t="s">
        <v>42</v>
      </c>
      <c r="B41" s="1750" t="s">
        <v>337</v>
      </c>
      <c r="C41" s="1750" t="s">
        <v>338</v>
      </c>
      <c r="D41" s="564" t="s">
        <v>374</v>
      </c>
      <c r="E41" s="564" t="s">
        <v>334</v>
      </c>
      <c r="F41" s="563" t="s">
        <v>335</v>
      </c>
      <c r="G41" s="1748" t="s">
        <v>57</v>
      </c>
      <c r="H41" s="1748" t="s">
        <v>120</v>
      </c>
    </row>
    <row r="42" spans="1:8" ht="12" thickBot="1">
      <c r="A42" s="1749"/>
      <c r="B42" s="1751"/>
      <c r="C42" s="1751"/>
      <c r="D42" s="562" t="s">
        <v>333</v>
      </c>
      <c r="E42" s="562" t="s">
        <v>333</v>
      </c>
      <c r="F42" s="562" t="s">
        <v>333</v>
      </c>
      <c r="G42" s="1752"/>
      <c r="H42" s="1752"/>
    </row>
    <row r="43" spans="1:8" ht="21">
      <c r="A43" s="552" t="s">
        <v>973</v>
      </c>
      <c r="B43" s="551" t="s">
        <v>782</v>
      </c>
      <c r="C43" s="548" t="s">
        <v>974</v>
      </c>
      <c r="D43" s="550">
        <v>30000</v>
      </c>
      <c r="E43" s="547" t="s">
        <v>782</v>
      </c>
      <c r="F43" s="547" t="s">
        <v>782</v>
      </c>
      <c r="G43" s="549" t="s">
        <v>920</v>
      </c>
      <c r="H43" s="551" t="s">
        <v>918</v>
      </c>
    </row>
    <row r="44" spans="1:8" ht="21">
      <c r="A44" s="552" t="s">
        <v>975</v>
      </c>
      <c r="B44" s="551" t="s">
        <v>976</v>
      </c>
      <c r="C44" s="548" t="s">
        <v>782</v>
      </c>
      <c r="D44" s="550">
        <v>25000</v>
      </c>
      <c r="E44" s="547" t="s">
        <v>782</v>
      </c>
      <c r="F44" s="547" t="s">
        <v>782</v>
      </c>
      <c r="G44" s="549" t="s">
        <v>917</v>
      </c>
      <c r="H44" s="551" t="s">
        <v>918</v>
      </c>
    </row>
    <row r="45" spans="1:8" ht="21">
      <c r="A45" s="552" t="s">
        <v>977</v>
      </c>
      <c r="B45" s="551" t="s">
        <v>978</v>
      </c>
      <c r="C45" s="548" t="s">
        <v>782</v>
      </c>
      <c r="D45" s="550">
        <v>33500</v>
      </c>
      <c r="E45" s="547" t="s">
        <v>782</v>
      </c>
      <c r="F45" s="547" t="s">
        <v>782</v>
      </c>
      <c r="G45" s="549" t="s">
        <v>917</v>
      </c>
      <c r="H45" s="551" t="s">
        <v>921</v>
      </c>
    </row>
    <row r="46" spans="1:8" ht="21">
      <c r="A46" s="552" t="s">
        <v>979</v>
      </c>
      <c r="B46" s="551" t="s">
        <v>958</v>
      </c>
      <c r="C46" s="548" t="s">
        <v>782</v>
      </c>
      <c r="D46" s="550">
        <v>16800</v>
      </c>
      <c r="E46" s="547" t="s">
        <v>782</v>
      </c>
      <c r="F46" s="547" t="s">
        <v>782</v>
      </c>
      <c r="G46" s="549" t="s">
        <v>917</v>
      </c>
      <c r="H46" s="551" t="s">
        <v>918</v>
      </c>
    </row>
    <row r="47" spans="1:8" ht="21">
      <c r="A47" s="552" t="s">
        <v>980</v>
      </c>
      <c r="B47" s="551" t="s">
        <v>981</v>
      </c>
      <c r="C47" s="548" t="s">
        <v>782</v>
      </c>
      <c r="D47" s="550">
        <v>20000</v>
      </c>
      <c r="E47" s="547" t="s">
        <v>782</v>
      </c>
      <c r="F47" s="547" t="s">
        <v>782</v>
      </c>
      <c r="G47" s="549" t="s">
        <v>917</v>
      </c>
      <c r="H47" s="551" t="s">
        <v>926</v>
      </c>
    </row>
    <row r="48" spans="1:8" ht="31.5">
      <c r="A48" s="552" t="s">
        <v>982</v>
      </c>
      <c r="B48" s="551" t="s">
        <v>950</v>
      </c>
      <c r="C48" s="548" t="s">
        <v>782</v>
      </c>
      <c r="D48" s="550">
        <v>32000</v>
      </c>
      <c r="E48" s="547" t="s">
        <v>782</v>
      </c>
      <c r="F48" s="547" t="s">
        <v>782</v>
      </c>
      <c r="G48" s="549" t="s">
        <v>917</v>
      </c>
      <c r="H48" s="551" t="s">
        <v>918</v>
      </c>
    </row>
    <row r="49" spans="1:8" ht="31.5">
      <c r="A49" s="552" t="s">
        <v>983</v>
      </c>
      <c r="B49" s="551" t="s">
        <v>782</v>
      </c>
      <c r="C49" s="548" t="s">
        <v>984</v>
      </c>
      <c r="D49" s="550">
        <v>29000</v>
      </c>
      <c r="E49" s="547" t="s">
        <v>782</v>
      </c>
      <c r="F49" s="547" t="s">
        <v>782</v>
      </c>
      <c r="G49" s="549" t="s">
        <v>920</v>
      </c>
      <c r="H49" s="551" t="s">
        <v>921</v>
      </c>
    </row>
    <row r="50" spans="1:8" ht="21">
      <c r="A50" s="552" t="s">
        <v>985</v>
      </c>
      <c r="B50" s="551" t="s">
        <v>986</v>
      </c>
      <c r="C50" s="548" t="s">
        <v>782</v>
      </c>
      <c r="D50" s="550">
        <v>119880.12</v>
      </c>
      <c r="E50" s="547" t="s">
        <v>782</v>
      </c>
      <c r="F50" s="547" t="s">
        <v>782</v>
      </c>
      <c r="G50" s="549" t="s">
        <v>917</v>
      </c>
      <c r="H50" s="551" t="s">
        <v>918</v>
      </c>
    </row>
    <row r="51" spans="1:8" ht="31.5">
      <c r="A51" s="552" t="s">
        <v>987</v>
      </c>
      <c r="B51" s="551" t="s">
        <v>988</v>
      </c>
      <c r="C51" s="548" t="s">
        <v>782</v>
      </c>
      <c r="D51" s="550">
        <v>25000</v>
      </c>
      <c r="E51" s="547" t="s">
        <v>782</v>
      </c>
      <c r="F51" s="547" t="s">
        <v>782</v>
      </c>
      <c r="G51" s="549" t="s">
        <v>917</v>
      </c>
      <c r="H51" s="551" t="s">
        <v>918</v>
      </c>
    </row>
    <row r="52" spans="1:8" ht="31.5">
      <c r="A52" s="552" t="s">
        <v>989</v>
      </c>
      <c r="B52" s="551" t="s">
        <v>782</v>
      </c>
      <c r="C52" s="548" t="s">
        <v>990</v>
      </c>
      <c r="D52" s="550">
        <v>20000</v>
      </c>
      <c r="E52" s="547" t="s">
        <v>782</v>
      </c>
      <c r="F52" s="547" t="s">
        <v>782</v>
      </c>
      <c r="G52" s="549" t="s">
        <v>923</v>
      </c>
      <c r="H52" s="551" t="s">
        <v>918</v>
      </c>
    </row>
    <row r="53" spans="1:8" ht="21">
      <c r="A53" s="552" t="s">
        <v>991</v>
      </c>
      <c r="B53" s="551" t="s">
        <v>992</v>
      </c>
      <c r="C53" s="548" t="s">
        <v>782</v>
      </c>
      <c r="D53" s="550">
        <v>23000</v>
      </c>
      <c r="E53" s="547" t="s">
        <v>782</v>
      </c>
      <c r="F53" s="547" t="s">
        <v>782</v>
      </c>
      <c r="G53" s="549" t="s">
        <v>917</v>
      </c>
      <c r="H53" s="551" t="s">
        <v>921</v>
      </c>
    </row>
    <row r="54" spans="1:8" ht="21">
      <c r="A54" s="552" t="s">
        <v>993</v>
      </c>
      <c r="B54" s="551" t="s">
        <v>782</v>
      </c>
      <c r="C54" s="548" t="s">
        <v>994</v>
      </c>
      <c r="D54" s="550">
        <v>30000</v>
      </c>
      <c r="E54" s="547" t="s">
        <v>782</v>
      </c>
      <c r="F54" s="547" t="s">
        <v>782</v>
      </c>
      <c r="G54" s="549" t="s">
        <v>920</v>
      </c>
      <c r="H54" s="551" t="s">
        <v>918</v>
      </c>
    </row>
    <row r="55" spans="1:8" ht="31.5">
      <c r="A55" s="552" t="s">
        <v>995</v>
      </c>
      <c r="B55" s="551" t="s">
        <v>996</v>
      </c>
      <c r="C55" s="548" t="s">
        <v>782</v>
      </c>
      <c r="D55" s="550">
        <v>33200</v>
      </c>
      <c r="E55" s="547" t="s">
        <v>782</v>
      </c>
      <c r="F55" s="547" t="s">
        <v>782</v>
      </c>
      <c r="G55" s="549" t="s">
        <v>917</v>
      </c>
      <c r="H55" s="551" t="s">
        <v>918</v>
      </c>
    </row>
    <row r="56" spans="1:8" ht="31.5">
      <c r="A56" s="552" t="s">
        <v>997</v>
      </c>
      <c r="B56" s="551" t="s">
        <v>952</v>
      </c>
      <c r="C56" s="548" t="s">
        <v>782</v>
      </c>
      <c r="D56" s="550">
        <v>32500</v>
      </c>
      <c r="E56" s="547" t="s">
        <v>782</v>
      </c>
      <c r="F56" s="547" t="s">
        <v>782</v>
      </c>
      <c r="G56" s="549" t="s">
        <v>917</v>
      </c>
      <c r="H56" s="551" t="s">
        <v>918</v>
      </c>
    </row>
    <row r="57" spans="1:8" ht="21">
      <c r="A57" s="552" t="s">
        <v>998</v>
      </c>
      <c r="B57" s="551" t="s">
        <v>999</v>
      </c>
      <c r="C57" s="548" t="s">
        <v>782</v>
      </c>
      <c r="D57" s="550">
        <v>28700</v>
      </c>
      <c r="E57" s="547" t="s">
        <v>782</v>
      </c>
      <c r="F57" s="547" t="s">
        <v>782</v>
      </c>
      <c r="G57" s="549" t="s">
        <v>1000</v>
      </c>
      <c r="H57" s="551" t="s">
        <v>921</v>
      </c>
    </row>
    <row r="58" spans="1:8" ht="21">
      <c r="A58" s="552" t="s">
        <v>1001</v>
      </c>
      <c r="B58" s="551" t="s">
        <v>782</v>
      </c>
      <c r="C58" s="548" t="s">
        <v>1002</v>
      </c>
      <c r="D58" s="550">
        <v>27000</v>
      </c>
      <c r="E58" s="547" t="s">
        <v>782</v>
      </c>
      <c r="F58" s="547" t="s">
        <v>782</v>
      </c>
      <c r="G58" s="549" t="s">
        <v>920</v>
      </c>
      <c r="H58" s="551" t="s">
        <v>918</v>
      </c>
    </row>
    <row r="59" spans="1:8" ht="31.5">
      <c r="A59" s="552" t="s">
        <v>1003</v>
      </c>
      <c r="B59" s="551" t="s">
        <v>782</v>
      </c>
      <c r="C59" s="548" t="s">
        <v>1004</v>
      </c>
      <c r="D59" s="550">
        <v>33000</v>
      </c>
      <c r="E59" s="547" t="s">
        <v>782</v>
      </c>
      <c r="F59" s="547" t="s">
        <v>782</v>
      </c>
      <c r="G59" s="549" t="s">
        <v>920</v>
      </c>
      <c r="H59" s="551" t="s">
        <v>918</v>
      </c>
    </row>
    <row r="60" spans="1:8" ht="21">
      <c r="A60" s="552" t="s">
        <v>1005</v>
      </c>
      <c r="B60" s="551" t="s">
        <v>782</v>
      </c>
      <c r="C60" s="548" t="s">
        <v>1006</v>
      </c>
      <c r="D60" s="550">
        <v>32000</v>
      </c>
      <c r="E60" s="547" t="s">
        <v>782</v>
      </c>
      <c r="F60" s="547" t="s">
        <v>782</v>
      </c>
      <c r="G60" s="549" t="s">
        <v>923</v>
      </c>
      <c r="H60" s="551" t="s">
        <v>918</v>
      </c>
    </row>
    <row r="61" spans="1:8" ht="31.5">
      <c r="A61" s="552" t="s">
        <v>1007</v>
      </c>
      <c r="B61" s="551" t="s">
        <v>937</v>
      </c>
      <c r="C61" s="548" t="s">
        <v>782</v>
      </c>
      <c r="D61" s="550">
        <v>12000</v>
      </c>
      <c r="E61" s="547" t="s">
        <v>782</v>
      </c>
      <c r="F61" s="547" t="s">
        <v>782</v>
      </c>
      <c r="G61" s="549" t="s">
        <v>917</v>
      </c>
      <c r="H61" s="551" t="s">
        <v>926</v>
      </c>
    </row>
    <row r="62" spans="1:8" ht="42">
      <c r="A62" s="552" t="s">
        <v>1008</v>
      </c>
      <c r="B62" s="551" t="s">
        <v>937</v>
      </c>
      <c r="C62" s="548" t="s">
        <v>782</v>
      </c>
      <c r="D62" s="550">
        <v>12000</v>
      </c>
      <c r="E62" s="547" t="s">
        <v>782</v>
      </c>
      <c r="F62" s="547" t="s">
        <v>782</v>
      </c>
      <c r="G62" s="549" t="s">
        <v>917</v>
      </c>
      <c r="H62" s="551" t="s">
        <v>926</v>
      </c>
    </row>
    <row r="63" spans="1:8" ht="21">
      <c r="A63" s="552" t="s">
        <v>1009</v>
      </c>
      <c r="B63" s="551" t="s">
        <v>999</v>
      </c>
      <c r="C63" s="548" t="s">
        <v>782</v>
      </c>
      <c r="D63" s="550">
        <v>32680</v>
      </c>
      <c r="E63" s="547" t="s">
        <v>782</v>
      </c>
      <c r="F63" s="547" t="s">
        <v>782</v>
      </c>
      <c r="G63" s="549" t="s">
        <v>1000</v>
      </c>
      <c r="H63" s="551" t="s">
        <v>921</v>
      </c>
    </row>
    <row r="64" spans="1:8" ht="21">
      <c r="A64" s="552" t="s">
        <v>1010</v>
      </c>
      <c r="B64" s="551" t="s">
        <v>782</v>
      </c>
      <c r="C64" s="548" t="s">
        <v>1011</v>
      </c>
      <c r="D64" s="550">
        <v>10000</v>
      </c>
      <c r="E64" s="547" t="s">
        <v>782</v>
      </c>
      <c r="F64" s="547" t="s">
        <v>782</v>
      </c>
      <c r="G64" s="549" t="s">
        <v>917</v>
      </c>
      <c r="H64" s="551" t="s">
        <v>926</v>
      </c>
    </row>
    <row r="65" spans="1:8" ht="31.5">
      <c r="A65" s="552" t="s">
        <v>1012</v>
      </c>
      <c r="B65" s="551" t="s">
        <v>1013</v>
      </c>
      <c r="C65" s="548" t="s">
        <v>782</v>
      </c>
      <c r="D65" s="550">
        <v>16400</v>
      </c>
      <c r="E65" s="547" t="s">
        <v>782</v>
      </c>
      <c r="F65" s="547" t="s">
        <v>782</v>
      </c>
      <c r="G65" s="549" t="s">
        <v>917</v>
      </c>
      <c r="H65" s="551" t="s">
        <v>918</v>
      </c>
    </row>
    <row r="66" spans="1:8" ht="31.5">
      <c r="A66" s="552" t="s">
        <v>1014</v>
      </c>
      <c r="B66" s="551" t="s">
        <v>1015</v>
      </c>
      <c r="C66" s="548" t="s">
        <v>782</v>
      </c>
      <c r="D66" s="550">
        <v>12000</v>
      </c>
      <c r="E66" s="547" t="s">
        <v>782</v>
      </c>
      <c r="F66" s="547" t="s">
        <v>782</v>
      </c>
      <c r="G66" s="549" t="s">
        <v>917</v>
      </c>
      <c r="H66" s="551" t="s">
        <v>918</v>
      </c>
    </row>
    <row r="67" spans="1:8" ht="42">
      <c r="A67" s="552" t="s">
        <v>1016</v>
      </c>
      <c r="B67" s="551" t="s">
        <v>1017</v>
      </c>
      <c r="C67" s="548" t="s">
        <v>782</v>
      </c>
      <c r="D67" s="550">
        <v>25000</v>
      </c>
      <c r="E67" s="547" t="s">
        <v>782</v>
      </c>
      <c r="F67" s="547" t="s">
        <v>782</v>
      </c>
      <c r="G67" s="549" t="s">
        <v>917</v>
      </c>
      <c r="H67" s="551" t="s">
        <v>918</v>
      </c>
    </row>
    <row r="68" spans="1:8" ht="31.5">
      <c r="A68" s="552" t="s">
        <v>1018</v>
      </c>
      <c r="B68" s="551" t="s">
        <v>1019</v>
      </c>
      <c r="C68" s="548" t="s">
        <v>782</v>
      </c>
      <c r="D68" s="550">
        <v>32846</v>
      </c>
      <c r="E68" s="547" t="s">
        <v>782</v>
      </c>
      <c r="F68" s="547" t="s">
        <v>782</v>
      </c>
      <c r="G68" s="549" t="s">
        <v>917</v>
      </c>
      <c r="H68" s="551" t="s">
        <v>918</v>
      </c>
    </row>
    <row r="69" spans="1:8" ht="42">
      <c r="A69" s="552" t="s">
        <v>1020</v>
      </c>
      <c r="B69" s="551" t="s">
        <v>1019</v>
      </c>
      <c r="C69" s="548" t="s">
        <v>782</v>
      </c>
      <c r="D69" s="550">
        <v>32846</v>
      </c>
      <c r="E69" s="547" t="s">
        <v>782</v>
      </c>
      <c r="F69" s="547" t="s">
        <v>782</v>
      </c>
      <c r="G69" s="549" t="s">
        <v>917</v>
      </c>
      <c r="H69" s="551" t="s">
        <v>918</v>
      </c>
    </row>
    <row r="70" spans="1:8" ht="31.5">
      <c r="A70" s="552" t="s">
        <v>1021</v>
      </c>
      <c r="B70" s="551" t="s">
        <v>1022</v>
      </c>
      <c r="C70" s="548" t="s">
        <v>782</v>
      </c>
      <c r="D70" s="550">
        <v>12000</v>
      </c>
      <c r="E70" s="547" t="s">
        <v>782</v>
      </c>
      <c r="F70" s="547" t="s">
        <v>782</v>
      </c>
      <c r="G70" s="549" t="s">
        <v>917</v>
      </c>
      <c r="H70" s="551" t="s">
        <v>918</v>
      </c>
    </row>
    <row r="71" spans="1:8" s="658" customFormat="1">
      <c r="D71" s="662">
        <f>SUM(D43:D70)</f>
        <v>788352.12</v>
      </c>
      <c r="E71" s="662">
        <f t="shared" ref="E71:F71" si="1">SUM(E43:E70)</f>
        <v>0</v>
      </c>
      <c r="F71" s="662">
        <f t="shared" si="1"/>
        <v>0</v>
      </c>
    </row>
    <row r="72" spans="1:8">
      <c r="A72" s="613"/>
      <c r="B72" s="575"/>
      <c r="C72" s="577"/>
      <c r="D72" s="579"/>
      <c r="E72" s="614"/>
      <c r="F72" s="614"/>
      <c r="G72" s="615"/>
      <c r="H72" s="575"/>
    </row>
    <row r="73" spans="1:8" ht="12.75" thickBot="1">
      <c r="A73" s="616" t="s">
        <v>745</v>
      </c>
      <c r="B73" s="617"/>
      <c r="C73" s="618"/>
      <c r="D73" s="619"/>
      <c r="E73" s="620"/>
      <c r="F73" s="620"/>
      <c r="G73" s="621"/>
      <c r="H73" s="617"/>
    </row>
    <row r="74" spans="1:8" ht="12" thickBot="1">
      <c r="A74" s="1748" t="s">
        <v>42</v>
      </c>
      <c r="B74" s="1750" t="s">
        <v>337</v>
      </c>
      <c r="C74" s="1750" t="s">
        <v>338</v>
      </c>
      <c r="D74" s="564" t="s">
        <v>374</v>
      </c>
      <c r="E74" s="564" t="s">
        <v>334</v>
      </c>
      <c r="F74" s="563" t="s">
        <v>335</v>
      </c>
      <c r="G74" s="1748" t="s">
        <v>57</v>
      </c>
      <c r="H74" s="1748" t="s">
        <v>120</v>
      </c>
    </row>
    <row r="75" spans="1:8" ht="12" thickBot="1">
      <c r="A75" s="1749"/>
      <c r="B75" s="1751"/>
      <c r="C75" s="1751"/>
      <c r="D75" s="562" t="s">
        <v>333</v>
      </c>
      <c r="E75" s="562" t="s">
        <v>333</v>
      </c>
      <c r="F75" s="562" t="s">
        <v>333</v>
      </c>
      <c r="G75" s="1752"/>
      <c r="H75" s="1752"/>
    </row>
    <row r="76" spans="1:8" ht="21">
      <c r="A76" s="552" t="s">
        <v>1023</v>
      </c>
      <c r="B76" s="551" t="s">
        <v>782</v>
      </c>
      <c r="C76" s="548" t="s">
        <v>1024</v>
      </c>
      <c r="D76" s="550">
        <v>31400</v>
      </c>
      <c r="E76" s="547" t="s">
        <v>782</v>
      </c>
      <c r="F76" s="547" t="s">
        <v>782</v>
      </c>
      <c r="G76" s="549" t="s">
        <v>920</v>
      </c>
      <c r="H76" s="551" t="s">
        <v>921</v>
      </c>
    </row>
    <row r="77" spans="1:8" ht="21">
      <c r="A77" s="552" t="s">
        <v>1025</v>
      </c>
      <c r="B77" s="551" t="s">
        <v>1026</v>
      </c>
      <c r="C77" s="548" t="s">
        <v>782</v>
      </c>
      <c r="D77" s="550">
        <v>26869</v>
      </c>
      <c r="E77" s="547" t="s">
        <v>782</v>
      </c>
      <c r="F77" s="547" t="s">
        <v>782</v>
      </c>
      <c r="G77" s="549" t="s">
        <v>917</v>
      </c>
      <c r="H77" s="551" t="s">
        <v>918</v>
      </c>
    </row>
    <row r="78" spans="1:8" ht="21">
      <c r="A78" s="552" t="s">
        <v>1027</v>
      </c>
      <c r="B78" s="551" t="s">
        <v>1028</v>
      </c>
      <c r="C78" s="548" t="s">
        <v>782</v>
      </c>
      <c r="D78" s="550">
        <v>20000</v>
      </c>
      <c r="E78" s="547" t="s">
        <v>782</v>
      </c>
      <c r="F78" s="547" t="s">
        <v>782</v>
      </c>
      <c r="G78" s="549" t="s">
        <v>917</v>
      </c>
      <c r="H78" s="551" t="s">
        <v>918</v>
      </c>
    </row>
    <row r="79" spans="1:8" ht="31.5">
      <c r="A79" s="552" t="s">
        <v>1029</v>
      </c>
      <c r="B79" s="551" t="s">
        <v>782</v>
      </c>
      <c r="C79" s="548" t="s">
        <v>1030</v>
      </c>
      <c r="D79" s="550">
        <v>21600</v>
      </c>
      <c r="E79" s="547" t="s">
        <v>782</v>
      </c>
      <c r="F79" s="547" t="s">
        <v>782</v>
      </c>
      <c r="G79" s="549" t="s">
        <v>920</v>
      </c>
      <c r="H79" s="551" t="s">
        <v>921</v>
      </c>
    </row>
    <row r="80" spans="1:8" ht="21">
      <c r="A80" s="552" t="s">
        <v>1031</v>
      </c>
      <c r="B80" s="551" t="s">
        <v>1032</v>
      </c>
      <c r="C80" s="548" t="s">
        <v>782</v>
      </c>
      <c r="D80" s="550">
        <v>121820</v>
      </c>
      <c r="E80" s="547" t="s">
        <v>782</v>
      </c>
      <c r="F80" s="547" t="s">
        <v>782</v>
      </c>
      <c r="G80" s="549" t="s">
        <v>917</v>
      </c>
      <c r="H80" s="551" t="s">
        <v>918</v>
      </c>
    </row>
    <row r="81" spans="1:8">
      <c r="A81" s="552" t="s">
        <v>1033</v>
      </c>
      <c r="B81" s="551" t="s">
        <v>952</v>
      </c>
      <c r="C81" s="548" t="s">
        <v>782</v>
      </c>
      <c r="D81" s="550">
        <v>30000</v>
      </c>
      <c r="E81" s="547" t="s">
        <v>782</v>
      </c>
      <c r="F81" s="547" t="s">
        <v>782</v>
      </c>
      <c r="G81" s="549" t="s">
        <v>917</v>
      </c>
      <c r="H81" s="551" t="s">
        <v>918</v>
      </c>
    </row>
    <row r="82" spans="1:8" ht="21">
      <c r="A82" s="552" t="s">
        <v>1034</v>
      </c>
      <c r="B82" s="551" t="s">
        <v>782</v>
      </c>
      <c r="C82" s="548" t="s">
        <v>1035</v>
      </c>
      <c r="D82" s="550">
        <v>49500</v>
      </c>
      <c r="E82" s="547" t="s">
        <v>782</v>
      </c>
      <c r="F82" s="547" t="s">
        <v>782</v>
      </c>
      <c r="G82" s="549" t="s">
        <v>920</v>
      </c>
      <c r="H82" s="551" t="s">
        <v>921</v>
      </c>
    </row>
    <row r="83" spans="1:8" ht="31.5">
      <c r="A83" s="552" t="s">
        <v>1036</v>
      </c>
      <c r="B83" s="551" t="s">
        <v>1037</v>
      </c>
      <c r="C83" s="548" t="s">
        <v>782</v>
      </c>
      <c r="D83" s="550">
        <v>30000</v>
      </c>
      <c r="E83" s="547" t="s">
        <v>782</v>
      </c>
      <c r="F83" s="547" t="s">
        <v>782</v>
      </c>
      <c r="G83" s="549" t="s">
        <v>917</v>
      </c>
      <c r="H83" s="551" t="s">
        <v>926</v>
      </c>
    </row>
    <row r="84" spans="1:8" ht="42">
      <c r="A84" s="552" t="s">
        <v>1038</v>
      </c>
      <c r="B84" s="551" t="s">
        <v>782</v>
      </c>
      <c r="C84" s="548" t="s">
        <v>1039</v>
      </c>
      <c r="D84" s="550">
        <v>32500</v>
      </c>
      <c r="E84" s="547" t="s">
        <v>782</v>
      </c>
      <c r="F84" s="547" t="s">
        <v>782</v>
      </c>
      <c r="G84" s="549" t="s">
        <v>920</v>
      </c>
      <c r="H84" s="551" t="s">
        <v>921</v>
      </c>
    </row>
    <row r="85" spans="1:8" ht="21">
      <c r="A85" s="552" t="s">
        <v>1040</v>
      </c>
      <c r="B85" s="551" t="s">
        <v>937</v>
      </c>
      <c r="C85" s="548" t="s">
        <v>782</v>
      </c>
      <c r="D85" s="550">
        <v>25000</v>
      </c>
      <c r="E85" s="547" t="s">
        <v>782</v>
      </c>
      <c r="F85" s="547" t="s">
        <v>782</v>
      </c>
      <c r="G85" s="549" t="s">
        <v>917</v>
      </c>
      <c r="H85" s="551" t="s">
        <v>921</v>
      </c>
    </row>
    <row r="86" spans="1:8" ht="21">
      <c r="A86" s="552" t="s">
        <v>1041</v>
      </c>
      <c r="B86" s="551" t="s">
        <v>1042</v>
      </c>
      <c r="C86" s="548" t="s">
        <v>782</v>
      </c>
      <c r="D86" s="550">
        <v>33600</v>
      </c>
      <c r="E86" s="547" t="s">
        <v>782</v>
      </c>
      <c r="F86" s="547" t="s">
        <v>782</v>
      </c>
      <c r="G86" s="549" t="s">
        <v>917</v>
      </c>
      <c r="H86" s="551" t="s">
        <v>921</v>
      </c>
    </row>
    <row r="87" spans="1:8" ht="21">
      <c r="A87" s="552" t="s">
        <v>1043</v>
      </c>
      <c r="B87" s="551" t="s">
        <v>782</v>
      </c>
      <c r="C87" s="548" t="s">
        <v>1044</v>
      </c>
      <c r="D87" s="550">
        <v>33000</v>
      </c>
      <c r="E87" s="547" t="s">
        <v>782</v>
      </c>
      <c r="F87" s="547" t="s">
        <v>782</v>
      </c>
      <c r="G87" s="549" t="s">
        <v>923</v>
      </c>
      <c r="H87" s="551" t="s">
        <v>918</v>
      </c>
    </row>
    <row r="88" spans="1:8" ht="21">
      <c r="A88" s="552" t="s">
        <v>1045</v>
      </c>
      <c r="B88" s="551" t="s">
        <v>782</v>
      </c>
      <c r="C88" s="548" t="s">
        <v>1046</v>
      </c>
      <c r="D88" s="550">
        <v>18000</v>
      </c>
      <c r="E88" s="547" t="s">
        <v>782</v>
      </c>
      <c r="F88" s="547" t="s">
        <v>782</v>
      </c>
      <c r="G88" s="549" t="s">
        <v>923</v>
      </c>
      <c r="H88" s="551" t="s">
        <v>918</v>
      </c>
    </row>
    <row r="89" spans="1:8" ht="31.5">
      <c r="A89" s="552" t="s">
        <v>1047</v>
      </c>
      <c r="B89" s="551" t="s">
        <v>1048</v>
      </c>
      <c r="C89" s="548" t="s">
        <v>782</v>
      </c>
      <c r="D89" s="550">
        <v>14868</v>
      </c>
      <c r="E89" s="547" t="s">
        <v>782</v>
      </c>
      <c r="F89" s="547" t="s">
        <v>782</v>
      </c>
      <c r="G89" s="549" t="s">
        <v>917</v>
      </c>
      <c r="H89" s="551" t="s">
        <v>918</v>
      </c>
    </row>
    <row r="90" spans="1:8" ht="31.5">
      <c r="A90" s="552" t="s">
        <v>1049</v>
      </c>
      <c r="B90" s="551" t="s">
        <v>1050</v>
      </c>
      <c r="C90" s="548" t="s">
        <v>782</v>
      </c>
      <c r="D90" s="550">
        <v>33600</v>
      </c>
      <c r="E90" s="547" t="s">
        <v>782</v>
      </c>
      <c r="F90" s="547" t="s">
        <v>782</v>
      </c>
      <c r="G90" s="549" t="s">
        <v>917</v>
      </c>
      <c r="H90" s="551" t="s">
        <v>918</v>
      </c>
    </row>
    <row r="91" spans="1:8" ht="42">
      <c r="A91" s="552" t="s">
        <v>1051</v>
      </c>
      <c r="B91" s="551" t="s">
        <v>942</v>
      </c>
      <c r="C91" s="548" t="s">
        <v>782</v>
      </c>
      <c r="D91" s="550">
        <v>13000</v>
      </c>
      <c r="E91" s="547" t="s">
        <v>782</v>
      </c>
      <c r="F91" s="547" t="s">
        <v>782</v>
      </c>
      <c r="G91" s="549" t="s">
        <v>917</v>
      </c>
      <c r="H91" s="551" t="s">
        <v>918</v>
      </c>
    </row>
    <row r="92" spans="1:8" ht="21">
      <c r="A92" s="552" t="s">
        <v>1052</v>
      </c>
      <c r="B92" s="551" t="s">
        <v>782</v>
      </c>
      <c r="C92" s="548" t="s">
        <v>1053</v>
      </c>
      <c r="D92" s="550">
        <v>33000</v>
      </c>
      <c r="E92" s="547" t="s">
        <v>782</v>
      </c>
      <c r="F92" s="547" t="s">
        <v>782</v>
      </c>
      <c r="G92" s="549" t="s">
        <v>920</v>
      </c>
      <c r="H92" s="551" t="s">
        <v>921</v>
      </c>
    </row>
    <row r="93" spans="1:8" ht="21">
      <c r="A93" s="552" t="s">
        <v>1054</v>
      </c>
      <c r="B93" s="551" t="s">
        <v>782</v>
      </c>
      <c r="C93" s="548" t="s">
        <v>1055</v>
      </c>
      <c r="D93" s="550">
        <v>33000</v>
      </c>
      <c r="E93" s="547" t="s">
        <v>782</v>
      </c>
      <c r="F93" s="547" t="s">
        <v>782</v>
      </c>
      <c r="G93" s="549" t="s">
        <v>1056</v>
      </c>
      <c r="H93" s="551" t="s">
        <v>918</v>
      </c>
    </row>
    <row r="94" spans="1:8" ht="31.5">
      <c r="A94" s="552" t="s">
        <v>1057</v>
      </c>
      <c r="B94" s="551" t="s">
        <v>1058</v>
      </c>
      <c r="C94" s="548" t="s">
        <v>782</v>
      </c>
      <c r="D94" s="550">
        <v>32500</v>
      </c>
      <c r="E94" s="547" t="s">
        <v>782</v>
      </c>
      <c r="F94" s="547" t="s">
        <v>782</v>
      </c>
      <c r="G94" s="549" t="s">
        <v>917</v>
      </c>
      <c r="H94" s="551" t="s">
        <v>921</v>
      </c>
    </row>
    <row r="95" spans="1:8" ht="21">
      <c r="A95" s="552" t="s">
        <v>1059</v>
      </c>
      <c r="B95" s="551" t="s">
        <v>1050</v>
      </c>
      <c r="C95" s="548" t="s">
        <v>782</v>
      </c>
      <c r="D95" s="550">
        <v>15000</v>
      </c>
      <c r="E95" s="547" t="s">
        <v>782</v>
      </c>
      <c r="F95" s="547" t="s">
        <v>782</v>
      </c>
      <c r="G95" s="549" t="s">
        <v>917</v>
      </c>
      <c r="H95" s="551" t="s">
        <v>918</v>
      </c>
    </row>
    <row r="96" spans="1:8" ht="21">
      <c r="A96" s="552" t="s">
        <v>1060</v>
      </c>
      <c r="B96" s="551" t="s">
        <v>958</v>
      </c>
      <c r="C96" s="548" t="s">
        <v>782</v>
      </c>
      <c r="D96" s="550">
        <v>480000</v>
      </c>
      <c r="E96" s="547" t="s">
        <v>782</v>
      </c>
      <c r="F96" s="547" t="s">
        <v>782</v>
      </c>
      <c r="G96" s="549" t="s">
        <v>917</v>
      </c>
      <c r="H96" s="551" t="s">
        <v>918</v>
      </c>
    </row>
    <row r="97" spans="1:8" ht="21">
      <c r="A97" s="552" t="s">
        <v>1061</v>
      </c>
      <c r="B97" s="551" t="s">
        <v>967</v>
      </c>
      <c r="C97" s="548" t="s">
        <v>782</v>
      </c>
      <c r="D97" s="550">
        <v>8300</v>
      </c>
      <c r="E97" s="547" t="s">
        <v>782</v>
      </c>
      <c r="F97" s="547" t="s">
        <v>782</v>
      </c>
      <c r="G97" s="549" t="s">
        <v>917</v>
      </c>
      <c r="H97" s="551" t="s">
        <v>921</v>
      </c>
    </row>
    <row r="98" spans="1:8" ht="21">
      <c r="A98" s="552" t="s">
        <v>1062</v>
      </c>
      <c r="B98" s="551" t="s">
        <v>782</v>
      </c>
      <c r="C98" s="548" t="s">
        <v>1063</v>
      </c>
      <c r="D98" s="550">
        <v>31600</v>
      </c>
      <c r="E98" s="547" t="s">
        <v>782</v>
      </c>
      <c r="F98" s="547" t="s">
        <v>782</v>
      </c>
      <c r="G98" s="549" t="s">
        <v>923</v>
      </c>
      <c r="H98" s="551" t="s">
        <v>918</v>
      </c>
    </row>
    <row r="99" spans="1:8" ht="21">
      <c r="A99" s="552" t="s">
        <v>1064</v>
      </c>
      <c r="B99" s="551" t="s">
        <v>782</v>
      </c>
      <c r="C99" s="548" t="s">
        <v>1065</v>
      </c>
      <c r="D99" s="550">
        <v>8500</v>
      </c>
      <c r="E99" s="547" t="s">
        <v>782</v>
      </c>
      <c r="F99" s="547" t="s">
        <v>782</v>
      </c>
      <c r="G99" s="549" t="s">
        <v>920</v>
      </c>
      <c r="H99" s="551" t="s">
        <v>918</v>
      </c>
    </row>
    <row r="100" spans="1:8" ht="21">
      <c r="A100" s="552" t="s">
        <v>1066</v>
      </c>
      <c r="B100" s="551" t="s">
        <v>782</v>
      </c>
      <c r="C100" s="548" t="s">
        <v>1067</v>
      </c>
      <c r="D100" s="550">
        <v>8000</v>
      </c>
      <c r="E100" s="547" t="s">
        <v>782</v>
      </c>
      <c r="F100" s="547" t="s">
        <v>782</v>
      </c>
      <c r="G100" s="549" t="s">
        <v>923</v>
      </c>
      <c r="H100" s="551" t="s">
        <v>918</v>
      </c>
    </row>
    <row r="101" spans="1:8" ht="31.5">
      <c r="A101" s="552" t="s">
        <v>1068</v>
      </c>
      <c r="B101" s="551" t="s">
        <v>1069</v>
      </c>
      <c r="C101" s="548" t="s">
        <v>782</v>
      </c>
      <c r="D101" s="550">
        <v>89236.91</v>
      </c>
      <c r="E101" s="547" t="s">
        <v>782</v>
      </c>
      <c r="F101" s="547" t="s">
        <v>782</v>
      </c>
      <c r="G101" s="549" t="s">
        <v>923</v>
      </c>
      <c r="H101" s="551" t="s">
        <v>918</v>
      </c>
    </row>
    <row r="102" spans="1:8" ht="31.5">
      <c r="A102" s="552" t="s">
        <v>1070</v>
      </c>
      <c r="B102" s="551" t="s">
        <v>1017</v>
      </c>
      <c r="C102" s="548" t="s">
        <v>782</v>
      </c>
      <c r="D102" s="550">
        <v>14685</v>
      </c>
      <c r="E102" s="547" t="s">
        <v>782</v>
      </c>
      <c r="F102" s="547" t="s">
        <v>782</v>
      </c>
      <c r="G102" s="549" t="s">
        <v>917</v>
      </c>
      <c r="H102" s="551" t="s">
        <v>918</v>
      </c>
    </row>
    <row r="103" spans="1:8" ht="21">
      <c r="A103" s="552" t="s">
        <v>1071</v>
      </c>
      <c r="B103" s="551" t="s">
        <v>1072</v>
      </c>
      <c r="C103" s="548" t="s">
        <v>782</v>
      </c>
      <c r="D103" s="550">
        <v>6500</v>
      </c>
      <c r="E103" s="547" t="s">
        <v>782</v>
      </c>
      <c r="F103" s="547" t="s">
        <v>782</v>
      </c>
      <c r="G103" s="549" t="s">
        <v>917</v>
      </c>
      <c r="H103" s="551" t="s">
        <v>918</v>
      </c>
    </row>
    <row r="104" spans="1:8" ht="31.5">
      <c r="A104" s="552" t="s">
        <v>1073</v>
      </c>
      <c r="B104" s="551" t="s">
        <v>782</v>
      </c>
      <c r="C104" s="548" t="s">
        <v>1074</v>
      </c>
      <c r="D104" s="550">
        <v>33600</v>
      </c>
      <c r="E104" s="547" t="s">
        <v>782</v>
      </c>
      <c r="F104" s="547" t="s">
        <v>782</v>
      </c>
      <c r="G104" s="549" t="s">
        <v>923</v>
      </c>
      <c r="H104" s="551" t="s">
        <v>918</v>
      </c>
    </row>
    <row r="105" spans="1:8">
      <c r="A105" s="552" t="s">
        <v>1075</v>
      </c>
      <c r="B105" s="551" t="s">
        <v>952</v>
      </c>
      <c r="C105" s="548" t="s">
        <v>782</v>
      </c>
      <c r="D105" s="550">
        <v>32000</v>
      </c>
      <c r="E105" s="547" t="s">
        <v>782</v>
      </c>
      <c r="F105" s="547" t="s">
        <v>782</v>
      </c>
      <c r="G105" s="549" t="s">
        <v>917</v>
      </c>
      <c r="H105" s="551" t="s">
        <v>918</v>
      </c>
    </row>
    <row r="106" spans="1:8" ht="21">
      <c r="A106" s="552" t="s">
        <v>1076</v>
      </c>
      <c r="B106" s="551" t="s">
        <v>782</v>
      </c>
      <c r="C106" s="548" t="s">
        <v>1077</v>
      </c>
      <c r="D106" s="550">
        <v>25000</v>
      </c>
      <c r="E106" s="547" t="s">
        <v>782</v>
      </c>
      <c r="F106" s="547" t="s">
        <v>782</v>
      </c>
      <c r="G106" s="549" t="s">
        <v>920</v>
      </c>
      <c r="H106" s="551" t="s">
        <v>926</v>
      </c>
    </row>
    <row r="107" spans="1:8">
      <c r="A107" s="613"/>
      <c r="B107" s="575"/>
      <c r="C107" s="577"/>
      <c r="D107" s="585"/>
      <c r="E107" s="614"/>
      <c r="F107" s="614"/>
      <c r="G107" s="615"/>
      <c r="H107" s="575"/>
    </row>
    <row r="108" spans="1:8" s="669" customFormat="1">
      <c r="A108" s="670"/>
      <c r="B108" s="671"/>
      <c r="C108" s="672"/>
      <c r="D108" s="673">
        <f>SUM(D76:D106)</f>
        <v>1385678.91</v>
      </c>
      <c r="E108" s="673">
        <f t="shared" ref="E108:F108" si="2">SUM(E76:E106)</f>
        <v>0</v>
      </c>
      <c r="F108" s="673">
        <f t="shared" si="2"/>
        <v>0</v>
      </c>
      <c r="G108" s="674"/>
      <c r="H108" s="671"/>
    </row>
    <row r="109" spans="1:8">
      <c r="A109" s="613"/>
      <c r="B109" s="575"/>
      <c r="C109" s="577"/>
      <c r="D109" s="627"/>
      <c r="E109" s="614"/>
      <c r="F109" s="614"/>
      <c r="G109" s="615"/>
      <c r="H109" s="575"/>
    </row>
    <row r="110" spans="1:8">
      <c r="A110" s="613"/>
      <c r="B110" s="575"/>
      <c r="C110" s="577"/>
      <c r="D110" s="627"/>
      <c r="E110" s="614"/>
      <c r="F110" s="614"/>
      <c r="G110" s="615"/>
      <c r="H110" s="575"/>
    </row>
    <row r="111" spans="1:8" ht="12.75" thickBot="1">
      <c r="A111" s="616" t="s">
        <v>745</v>
      </c>
      <c r="B111" s="617"/>
      <c r="C111" s="618"/>
      <c r="D111" s="619"/>
      <c r="E111" s="620"/>
      <c r="F111" s="620"/>
      <c r="G111" s="621"/>
      <c r="H111" s="617"/>
    </row>
    <row r="112" spans="1:8" ht="12" thickBot="1">
      <c r="A112" s="1748" t="s">
        <v>42</v>
      </c>
      <c r="B112" s="1750" t="s">
        <v>337</v>
      </c>
      <c r="C112" s="1750" t="s">
        <v>338</v>
      </c>
      <c r="D112" s="564" t="s">
        <v>374</v>
      </c>
      <c r="E112" s="564" t="s">
        <v>334</v>
      </c>
      <c r="F112" s="563" t="s">
        <v>335</v>
      </c>
      <c r="G112" s="1748" t="s">
        <v>57</v>
      </c>
      <c r="H112" s="1748" t="s">
        <v>120</v>
      </c>
    </row>
    <row r="113" spans="1:8" ht="12" thickBot="1">
      <c r="A113" s="1749"/>
      <c r="B113" s="1751"/>
      <c r="C113" s="1751"/>
      <c r="D113" s="562" t="s">
        <v>333</v>
      </c>
      <c r="E113" s="562" t="s">
        <v>333</v>
      </c>
      <c r="F113" s="562" t="s">
        <v>333</v>
      </c>
      <c r="G113" s="1752"/>
      <c r="H113" s="1752"/>
    </row>
    <row r="114" spans="1:8" ht="21">
      <c r="A114" s="552" t="s">
        <v>1078</v>
      </c>
      <c r="B114" s="551" t="s">
        <v>1079</v>
      </c>
      <c r="C114" s="548" t="s">
        <v>782</v>
      </c>
      <c r="D114" s="550">
        <v>10000</v>
      </c>
      <c r="E114" s="547" t="s">
        <v>782</v>
      </c>
      <c r="F114" s="547" t="s">
        <v>782</v>
      </c>
      <c r="G114" s="549" t="s">
        <v>917</v>
      </c>
      <c r="H114" s="551" t="s">
        <v>918</v>
      </c>
    </row>
    <row r="115" spans="1:8" ht="31.5">
      <c r="A115" s="552" t="s">
        <v>1080</v>
      </c>
      <c r="B115" s="551" t="s">
        <v>1081</v>
      </c>
      <c r="C115" s="548" t="s">
        <v>782</v>
      </c>
      <c r="D115" s="550">
        <v>20060</v>
      </c>
      <c r="E115" s="547" t="s">
        <v>782</v>
      </c>
      <c r="F115" s="547" t="s">
        <v>782</v>
      </c>
      <c r="G115" s="549" t="s">
        <v>917</v>
      </c>
      <c r="H115" s="551" t="s">
        <v>918</v>
      </c>
    </row>
    <row r="116" spans="1:8" ht="21">
      <c r="A116" s="552" t="s">
        <v>1082</v>
      </c>
      <c r="B116" s="551" t="s">
        <v>782</v>
      </c>
      <c r="C116" s="548" t="s">
        <v>1083</v>
      </c>
      <c r="D116" s="550">
        <v>29000</v>
      </c>
      <c r="E116" s="547" t="s">
        <v>782</v>
      </c>
      <c r="F116" s="547" t="s">
        <v>782</v>
      </c>
      <c r="G116" s="549" t="s">
        <v>920</v>
      </c>
      <c r="H116" s="551" t="s">
        <v>918</v>
      </c>
    </row>
    <row r="117" spans="1:8" ht="21">
      <c r="A117" s="552" t="s">
        <v>1084</v>
      </c>
      <c r="B117" s="551" t="s">
        <v>782</v>
      </c>
      <c r="C117" s="548" t="s">
        <v>1085</v>
      </c>
      <c r="D117" s="550">
        <v>4250</v>
      </c>
      <c r="E117" s="547" t="s">
        <v>782</v>
      </c>
      <c r="F117" s="547" t="s">
        <v>782</v>
      </c>
      <c r="G117" s="549" t="s">
        <v>920</v>
      </c>
      <c r="H117" s="551" t="s">
        <v>921</v>
      </c>
    </row>
    <row r="118" spans="1:8" ht="31.5">
      <c r="A118" s="552" t="s">
        <v>1086</v>
      </c>
      <c r="B118" s="551" t="s">
        <v>782</v>
      </c>
      <c r="C118" s="548" t="s">
        <v>1011</v>
      </c>
      <c r="D118" s="550">
        <v>10000</v>
      </c>
      <c r="E118" s="547" t="s">
        <v>782</v>
      </c>
      <c r="F118" s="547" t="s">
        <v>782</v>
      </c>
      <c r="G118" s="549" t="s">
        <v>920</v>
      </c>
      <c r="H118" s="551" t="s">
        <v>921</v>
      </c>
    </row>
    <row r="119" spans="1:8" ht="42">
      <c r="A119" s="552" t="s">
        <v>1087</v>
      </c>
      <c r="B119" s="551" t="s">
        <v>1088</v>
      </c>
      <c r="C119" s="548" t="s">
        <v>782</v>
      </c>
      <c r="D119" s="550">
        <v>33600</v>
      </c>
      <c r="E119" s="547" t="s">
        <v>782</v>
      </c>
      <c r="F119" s="547" t="s">
        <v>782</v>
      </c>
      <c r="G119" s="549" t="s">
        <v>917</v>
      </c>
      <c r="H119" s="551" t="s">
        <v>926</v>
      </c>
    </row>
    <row r="120" spans="1:8" ht="42">
      <c r="A120" s="552" t="s">
        <v>1089</v>
      </c>
      <c r="B120" s="551" t="s">
        <v>782</v>
      </c>
      <c r="C120" s="548" t="s">
        <v>1090</v>
      </c>
      <c r="D120" s="550">
        <v>33600</v>
      </c>
      <c r="E120" s="547" t="s">
        <v>782</v>
      </c>
      <c r="F120" s="547" t="s">
        <v>782</v>
      </c>
      <c r="G120" s="549" t="s">
        <v>923</v>
      </c>
      <c r="H120" s="551" t="s">
        <v>918</v>
      </c>
    </row>
    <row r="121" spans="1:8" ht="42">
      <c r="A121" s="552" t="s">
        <v>1091</v>
      </c>
      <c r="B121" s="551" t="s">
        <v>942</v>
      </c>
      <c r="C121" s="548" t="s">
        <v>782</v>
      </c>
      <c r="D121" s="550">
        <v>22000</v>
      </c>
      <c r="E121" s="547" t="s">
        <v>782</v>
      </c>
      <c r="F121" s="547" t="s">
        <v>782</v>
      </c>
      <c r="G121" s="549" t="s">
        <v>917</v>
      </c>
      <c r="H121" s="551" t="s">
        <v>918</v>
      </c>
    </row>
    <row r="122" spans="1:8" ht="21">
      <c r="A122" s="552" t="s">
        <v>1092</v>
      </c>
      <c r="B122" s="551" t="s">
        <v>958</v>
      </c>
      <c r="C122" s="548" t="s">
        <v>782</v>
      </c>
      <c r="D122" s="550">
        <v>32500</v>
      </c>
      <c r="E122" s="547" t="s">
        <v>782</v>
      </c>
      <c r="F122" s="547" t="s">
        <v>782</v>
      </c>
      <c r="G122" s="549" t="s">
        <v>917</v>
      </c>
      <c r="H122" s="551" t="s">
        <v>918</v>
      </c>
    </row>
    <row r="123" spans="1:8" ht="21">
      <c r="A123" s="552" t="s">
        <v>1093</v>
      </c>
      <c r="B123" s="551" t="s">
        <v>1094</v>
      </c>
      <c r="C123" s="548" t="s">
        <v>782</v>
      </c>
      <c r="D123" s="550">
        <v>85000</v>
      </c>
      <c r="E123" s="547" t="s">
        <v>782</v>
      </c>
      <c r="F123" s="547" t="s">
        <v>782</v>
      </c>
      <c r="G123" s="549" t="s">
        <v>917</v>
      </c>
      <c r="H123" s="551" t="s">
        <v>918</v>
      </c>
    </row>
    <row r="124" spans="1:8" ht="21">
      <c r="A124" s="552" t="s">
        <v>1095</v>
      </c>
      <c r="B124" s="551" t="s">
        <v>782</v>
      </c>
      <c r="C124" s="548" t="s">
        <v>1035</v>
      </c>
      <c r="D124" s="550">
        <v>49500</v>
      </c>
      <c r="E124" s="547" t="s">
        <v>782</v>
      </c>
      <c r="F124" s="547" t="s">
        <v>782</v>
      </c>
      <c r="G124" s="549" t="s">
        <v>920</v>
      </c>
      <c r="H124" s="551" t="s">
        <v>921</v>
      </c>
    </row>
    <row r="125" spans="1:8" ht="21">
      <c r="A125" s="552" t="s">
        <v>1096</v>
      </c>
      <c r="B125" s="551" t="s">
        <v>996</v>
      </c>
      <c r="C125" s="548" t="s">
        <v>782</v>
      </c>
      <c r="D125" s="550">
        <v>33000</v>
      </c>
      <c r="E125" s="547" t="s">
        <v>782</v>
      </c>
      <c r="F125" s="547" t="s">
        <v>782</v>
      </c>
      <c r="G125" s="549" t="s">
        <v>917</v>
      </c>
      <c r="H125" s="551" t="s">
        <v>918</v>
      </c>
    </row>
    <row r="126" spans="1:8" ht="21">
      <c r="A126" s="552" t="s">
        <v>1097</v>
      </c>
      <c r="B126" s="551" t="s">
        <v>1098</v>
      </c>
      <c r="C126" s="548" t="s">
        <v>782</v>
      </c>
      <c r="D126" s="550">
        <v>33500</v>
      </c>
      <c r="E126" s="547" t="s">
        <v>782</v>
      </c>
      <c r="F126" s="547" t="s">
        <v>782</v>
      </c>
      <c r="G126" s="549" t="s">
        <v>917</v>
      </c>
      <c r="H126" s="551" t="s">
        <v>918</v>
      </c>
    </row>
    <row r="127" spans="1:8" ht="21">
      <c r="A127" s="552" t="s">
        <v>1099</v>
      </c>
      <c r="B127" s="551" t="s">
        <v>782</v>
      </c>
      <c r="C127" s="548" t="s">
        <v>1100</v>
      </c>
      <c r="D127" s="550">
        <v>48000</v>
      </c>
      <c r="E127" s="547" t="s">
        <v>782</v>
      </c>
      <c r="F127" s="547" t="s">
        <v>782</v>
      </c>
      <c r="G127" s="549" t="s">
        <v>923</v>
      </c>
      <c r="H127" s="551" t="s">
        <v>921</v>
      </c>
    </row>
    <row r="128" spans="1:8" ht="21">
      <c r="A128" s="552" t="s">
        <v>1101</v>
      </c>
      <c r="B128" s="551" t="s">
        <v>782</v>
      </c>
      <c r="C128" s="548" t="s">
        <v>1035</v>
      </c>
      <c r="D128" s="550">
        <v>64000</v>
      </c>
      <c r="E128" s="547" t="s">
        <v>782</v>
      </c>
      <c r="F128" s="547" t="s">
        <v>782</v>
      </c>
      <c r="G128" s="549" t="s">
        <v>923</v>
      </c>
      <c r="H128" s="551" t="s">
        <v>921</v>
      </c>
    </row>
    <row r="129" spans="1:8" ht="21">
      <c r="A129" s="552" t="s">
        <v>1102</v>
      </c>
      <c r="B129" s="551" t="s">
        <v>782</v>
      </c>
      <c r="C129" s="548" t="s">
        <v>1100</v>
      </c>
      <c r="D129" s="550">
        <v>44800</v>
      </c>
      <c r="E129" s="547" t="s">
        <v>782</v>
      </c>
      <c r="F129" s="547" t="s">
        <v>782</v>
      </c>
      <c r="G129" s="549" t="s">
        <v>920</v>
      </c>
      <c r="H129" s="551" t="s">
        <v>921</v>
      </c>
    </row>
    <row r="130" spans="1:8" ht="31.5">
      <c r="A130" s="552" t="s">
        <v>1103</v>
      </c>
      <c r="B130" s="551" t="s">
        <v>782</v>
      </c>
      <c r="C130" s="548" t="s">
        <v>1104</v>
      </c>
      <c r="D130" s="550">
        <v>33000</v>
      </c>
      <c r="E130" s="547" t="s">
        <v>782</v>
      </c>
      <c r="F130" s="547" t="s">
        <v>782</v>
      </c>
      <c r="G130" s="549" t="s">
        <v>920</v>
      </c>
      <c r="H130" s="551" t="s">
        <v>918</v>
      </c>
    </row>
    <row r="131" spans="1:8" ht="31.5">
      <c r="A131" s="552" t="s">
        <v>1105</v>
      </c>
      <c r="B131" s="551" t="s">
        <v>782</v>
      </c>
      <c r="C131" s="548" t="s">
        <v>1106</v>
      </c>
      <c r="D131" s="550">
        <v>30000</v>
      </c>
      <c r="E131" s="547" t="s">
        <v>782</v>
      </c>
      <c r="F131" s="547" t="s">
        <v>782</v>
      </c>
      <c r="G131" s="549" t="s">
        <v>923</v>
      </c>
      <c r="H131" s="551" t="s">
        <v>918</v>
      </c>
    </row>
    <row r="132" spans="1:8" ht="21">
      <c r="A132" s="552" t="s">
        <v>1107</v>
      </c>
      <c r="B132" s="551" t="s">
        <v>1108</v>
      </c>
      <c r="C132" s="548" t="s">
        <v>782</v>
      </c>
      <c r="D132" s="550">
        <v>21900</v>
      </c>
      <c r="E132" s="547" t="s">
        <v>782</v>
      </c>
      <c r="F132" s="547" t="s">
        <v>782</v>
      </c>
      <c r="G132" s="549" t="s">
        <v>917</v>
      </c>
      <c r="H132" s="551" t="s">
        <v>926</v>
      </c>
    </row>
    <row r="133" spans="1:8">
      <c r="A133" s="552" t="s">
        <v>1109</v>
      </c>
      <c r="B133" s="551" t="s">
        <v>958</v>
      </c>
      <c r="C133" s="548" t="s">
        <v>782</v>
      </c>
      <c r="D133" s="550">
        <v>25000</v>
      </c>
      <c r="E133" s="547" t="s">
        <v>782</v>
      </c>
      <c r="F133" s="547" t="s">
        <v>782</v>
      </c>
      <c r="G133" s="549" t="s">
        <v>917</v>
      </c>
      <c r="H133" s="551" t="s">
        <v>918</v>
      </c>
    </row>
    <row r="134" spans="1:8" ht="31.5">
      <c r="A134" s="552" t="s">
        <v>1110</v>
      </c>
      <c r="B134" s="551" t="s">
        <v>1111</v>
      </c>
      <c r="C134" s="548" t="s">
        <v>782</v>
      </c>
      <c r="D134" s="550">
        <v>30000</v>
      </c>
      <c r="E134" s="547" t="s">
        <v>782</v>
      </c>
      <c r="F134" s="547" t="s">
        <v>782</v>
      </c>
      <c r="G134" s="549" t="s">
        <v>917</v>
      </c>
      <c r="H134" s="551" t="s">
        <v>918</v>
      </c>
    </row>
    <row r="135" spans="1:8" ht="31.5">
      <c r="A135" s="552" t="s">
        <v>1112</v>
      </c>
      <c r="B135" s="551" t="s">
        <v>782</v>
      </c>
      <c r="C135" s="548" t="s">
        <v>1113</v>
      </c>
      <c r="D135" s="550">
        <v>33600</v>
      </c>
      <c r="E135" s="547" t="s">
        <v>782</v>
      </c>
      <c r="F135" s="547" t="s">
        <v>782</v>
      </c>
      <c r="G135" s="549" t="s">
        <v>923</v>
      </c>
      <c r="H135" s="551" t="s">
        <v>918</v>
      </c>
    </row>
    <row r="136" spans="1:8" ht="21">
      <c r="A136" s="552" t="s">
        <v>1114</v>
      </c>
      <c r="B136" s="551" t="s">
        <v>1111</v>
      </c>
      <c r="C136" s="548" t="s">
        <v>782</v>
      </c>
      <c r="D136" s="550">
        <v>20000</v>
      </c>
      <c r="E136" s="547" t="s">
        <v>782</v>
      </c>
      <c r="F136" s="547" t="s">
        <v>782</v>
      </c>
      <c r="G136" s="549" t="s">
        <v>917</v>
      </c>
      <c r="H136" s="551" t="s">
        <v>918</v>
      </c>
    </row>
    <row r="137" spans="1:8" ht="31.5">
      <c r="A137" s="552" t="s">
        <v>1115</v>
      </c>
      <c r="B137" s="551" t="s">
        <v>782</v>
      </c>
      <c r="C137" s="548" t="s">
        <v>1116</v>
      </c>
      <c r="D137" s="550">
        <v>24900</v>
      </c>
      <c r="E137" s="547" t="s">
        <v>782</v>
      </c>
      <c r="F137" s="547" t="s">
        <v>782</v>
      </c>
      <c r="G137" s="549" t="s">
        <v>920</v>
      </c>
      <c r="H137" s="551" t="s">
        <v>918</v>
      </c>
    </row>
    <row r="138" spans="1:8" ht="21">
      <c r="A138" s="552" t="s">
        <v>1117</v>
      </c>
      <c r="B138" s="551" t="s">
        <v>1118</v>
      </c>
      <c r="C138" s="548" t="s">
        <v>782</v>
      </c>
      <c r="D138" s="550">
        <v>185000</v>
      </c>
      <c r="E138" s="547" t="s">
        <v>782</v>
      </c>
      <c r="F138" s="547" t="s">
        <v>782</v>
      </c>
      <c r="G138" s="549" t="s">
        <v>917</v>
      </c>
      <c r="H138" s="551" t="s">
        <v>918</v>
      </c>
    </row>
    <row r="139" spans="1:8" ht="21">
      <c r="A139" s="552" t="s">
        <v>1119</v>
      </c>
      <c r="B139" s="551" t="s">
        <v>1028</v>
      </c>
      <c r="C139" s="548" t="s">
        <v>782</v>
      </c>
      <c r="D139" s="550">
        <v>15000</v>
      </c>
      <c r="E139" s="547" t="s">
        <v>782</v>
      </c>
      <c r="F139" s="547" t="s">
        <v>782</v>
      </c>
      <c r="G139" s="549" t="s">
        <v>917</v>
      </c>
      <c r="H139" s="551" t="s">
        <v>918</v>
      </c>
    </row>
    <row r="140" spans="1:8" ht="31.5">
      <c r="A140" s="552" t="s">
        <v>1120</v>
      </c>
      <c r="B140" s="551" t="s">
        <v>1121</v>
      </c>
      <c r="C140" s="548" t="s">
        <v>782</v>
      </c>
      <c r="D140" s="550">
        <v>33600</v>
      </c>
      <c r="E140" s="547" t="s">
        <v>782</v>
      </c>
      <c r="F140" s="547" t="s">
        <v>782</v>
      </c>
      <c r="G140" s="549" t="s">
        <v>917</v>
      </c>
      <c r="H140" s="551" t="s">
        <v>918</v>
      </c>
    </row>
    <row r="141" spans="1:8" ht="42">
      <c r="A141" s="552" t="s">
        <v>1122</v>
      </c>
      <c r="B141" s="551" t="s">
        <v>782</v>
      </c>
      <c r="C141" s="548" t="s">
        <v>1123</v>
      </c>
      <c r="D141" s="550">
        <v>21250</v>
      </c>
      <c r="E141" s="547" t="s">
        <v>782</v>
      </c>
      <c r="F141" s="547" t="s">
        <v>782</v>
      </c>
      <c r="G141" s="549" t="s">
        <v>923</v>
      </c>
      <c r="H141" s="551" t="s">
        <v>918</v>
      </c>
    </row>
    <row r="142" spans="1:8" ht="31.5">
      <c r="A142" s="552" t="s">
        <v>1124</v>
      </c>
      <c r="B142" s="551" t="s">
        <v>1125</v>
      </c>
      <c r="C142" s="548" t="s">
        <v>782</v>
      </c>
      <c r="D142" s="550">
        <v>32000</v>
      </c>
      <c r="E142" s="547" t="s">
        <v>782</v>
      </c>
      <c r="F142" s="547" t="s">
        <v>782</v>
      </c>
      <c r="G142" s="549" t="s">
        <v>917</v>
      </c>
      <c r="H142" s="551" t="s">
        <v>918</v>
      </c>
    </row>
    <row r="143" spans="1:8" s="669" customFormat="1">
      <c r="A143" s="665"/>
      <c r="B143" s="666"/>
      <c r="C143" s="667"/>
      <c r="D143" s="664">
        <f>SUM(D114:D142)</f>
        <v>1058060</v>
      </c>
      <c r="E143" s="664">
        <f t="shared" ref="E143:F143" si="3">SUM(E114:E142)</f>
        <v>0</v>
      </c>
      <c r="F143" s="664">
        <f t="shared" si="3"/>
        <v>0</v>
      </c>
      <c r="G143" s="668"/>
      <c r="H143" s="666"/>
    </row>
    <row r="145" spans="1:8" ht="12.75" thickBot="1">
      <c r="A145" s="616" t="s">
        <v>745</v>
      </c>
    </row>
    <row r="146" spans="1:8" ht="12" thickBot="1">
      <c r="A146" s="1748" t="s">
        <v>42</v>
      </c>
      <c r="B146" s="1750" t="s">
        <v>337</v>
      </c>
      <c r="C146" s="1750" t="s">
        <v>338</v>
      </c>
      <c r="D146" s="564" t="s">
        <v>374</v>
      </c>
      <c r="E146" s="564" t="s">
        <v>334</v>
      </c>
      <c r="F146" s="563" t="s">
        <v>335</v>
      </c>
      <c r="G146" s="1748" t="s">
        <v>57</v>
      </c>
      <c r="H146" s="1748" t="s">
        <v>120</v>
      </c>
    </row>
    <row r="147" spans="1:8" ht="12" thickBot="1">
      <c r="A147" s="1749"/>
      <c r="B147" s="1751"/>
      <c r="C147" s="1751"/>
      <c r="D147" s="562" t="s">
        <v>333</v>
      </c>
      <c r="E147" s="562" t="s">
        <v>333</v>
      </c>
      <c r="F147" s="562" t="s">
        <v>333</v>
      </c>
      <c r="G147" s="1752"/>
      <c r="H147" s="1752"/>
    </row>
    <row r="148" spans="1:8" ht="31.5">
      <c r="A148" s="552" t="s">
        <v>1126</v>
      </c>
      <c r="B148" s="551" t="s">
        <v>782</v>
      </c>
      <c r="C148" s="548" t="s">
        <v>1127</v>
      </c>
      <c r="D148" s="550">
        <v>30000</v>
      </c>
      <c r="E148" s="547" t="s">
        <v>782</v>
      </c>
      <c r="F148" s="547" t="s">
        <v>782</v>
      </c>
      <c r="G148" s="549" t="s">
        <v>920</v>
      </c>
      <c r="H148" s="551" t="s">
        <v>926</v>
      </c>
    </row>
    <row r="149" spans="1:8" ht="31.5">
      <c r="A149" s="552" t="s">
        <v>1128</v>
      </c>
      <c r="B149" s="551" t="s">
        <v>1129</v>
      </c>
      <c r="C149" s="548" t="s">
        <v>782</v>
      </c>
      <c r="D149" s="550">
        <v>18700</v>
      </c>
      <c r="E149" s="547" t="s">
        <v>782</v>
      </c>
      <c r="F149" s="547" t="s">
        <v>782</v>
      </c>
      <c r="G149" s="549" t="s">
        <v>917</v>
      </c>
      <c r="H149" s="551" t="s">
        <v>926</v>
      </c>
    </row>
    <row r="150" spans="1:8" ht="21">
      <c r="A150" s="552" t="s">
        <v>1130</v>
      </c>
      <c r="B150" s="551" t="s">
        <v>1129</v>
      </c>
      <c r="C150" s="548" t="s">
        <v>782</v>
      </c>
      <c r="D150" s="550">
        <v>15700</v>
      </c>
      <c r="E150" s="547" t="s">
        <v>782</v>
      </c>
      <c r="F150" s="547" t="s">
        <v>782</v>
      </c>
      <c r="G150" s="549" t="s">
        <v>917</v>
      </c>
      <c r="H150" s="551" t="s">
        <v>926</v>
      </c>
    </row>
    <row r="151" spans="1:8" ht="42">
      <c r="A151" s="552" t="s">
        <v>1131</v>
      </c>
      <c r="B151" s="551" t="s">
        <v>782</v>
      </c>
      <c r="C151" s="548" t="s">
        <v>1132</v>
      </c>
      <c r="D151" s="550">
        <v>23375</v>
      </c>
      <c r="E151" s="547" t="s">
        <v>782</v>
      </c>
      <c r="F151" s="547" t="s">
        <v>782</v>
      </c>
      <c r="G151" s="549" t="s">
        <v>923</v>
      </c>
      <c r="H151" s="551" t="s">
        <v>918</v>
      </c>
    </row>
    <row r="152" spans="1:8" ht="21">
      <c r="A152" s="552" t="s">
        <v>1133</v>
      </c>
      <c r="B152" s="551" t="s">
        <v>1134</v>
      </c>
      <c r="C152" s="548" t="s">
        <v>782</v>
      </c>
      <c r="D152" s="550">
        <v>297000</v>
      </c>
      <c r="E152" s="547" t="s">
        <v>782</v>
      </c>
      <c r="F152" s="547" t="s">
        <v>782</v>
      </c>
      <c r="G152" s="549" t="s">
        <v>917</v>
      </c>
      <c r="H152" s="551" t="s">
        <v>918</v>
      </c>
    </row>
    <row r="153" spans="1:8" ht="21">
      <c r="A153" s="552" t="s">
        <v>1135</v>
      </c>
      <c r="B153" s="551" t="s">
        <v>1136</v>
      </c>
      <c r="C153" s="548" t="s">
        <v>782</v>
      </c>
      <c r="D153" s="550">
        <v>30000</v>
      </c>
      <c r="E153" s="547" t="s">
        <v>782</v>
      </c>
      <c r="F153" s="547" t="s">
        <v>782</v>
      </c>
      <c r="G153" s="549" t="s">
        <v>917</v>
      </c>
      <c r="H153" s="551" t="s">
        <v>918</v>
      </c>
    </row>
    <row r="154" spans="1:8" ht="31.5">
      <c r="A154" s="552" t="s">
        <v>1137</v>
      </c>
      <c r="B154" s="551" t="s">
        <v>782</v>
      </c>
      <c r="C154" s="548" t="s">
        <v>1065</v>
      </c>
      <c r="D154" s="550">
        <v>25500</v>
      </c>
      <c r="E154" s="547" t="s">
        <v>782</v>
      </c>
      <c r="F154" s="547" t="s">
        <v>782</v>
      </c>
      <c r="G154" s="549" t="s">
        <v>923</v>
      </c>
      <c r="H154" s="551" t="s">
        <v>918</v>
      </c>
    </row>
    <row r="155" spans="1:8" ht="21">
      <c r="A155" s="552" t="s">
        <v>1138</v>
      </c>
      <c r="B155" s="551" t="s">
        <v>1139</v>
      </c>
      <c r="C155" s="548" t="s">
        <v>782</v>
      </c>
      <c r="D155" s="550">
        <v>55650</v>
      </c>
      <c r="E155" s="547" t="s">
        <v>782</v>
      </c>
      <c r="F155" s="547" t="s">
        <v>782</v>
      </c>
      <c r="G155" s="549" t="s">
        <v>917</v>
      </c>
      <c r="H155" s="551" t="s">
        <v>921</v>
      </c>
    </row>
    <row r="156" spans="1:8" ht="21">
      <c r="A156" s="552" t="s">
        <v>1140</v>
      </c>
      <c r="B156" s="551" t="s">
        <v>1141</v>
      </c>
      <c r="C156" s="548" t="s">
        <v>782</v>
      </c>
      <c r="D156" s="550">
        <v>20000</v>
      </c>
      <c r="E156" s="547" t="s">
        <v>782</v>
      </c>
      <c r="F156" s="547" t="s">
        <v>782</v>
      </c>
      <c r="G156" s="549" t="s">
        <v>917</v>
      </c>
      <c r="H156" s="551" t="s">
        <v>918</v>
      </c>
    </row>
    <row r="157" spans="1:8" ht="31.5">
      <c r="A157" s="552" t="s">
        <v>1142</v>
      </c>
      <c r="B157" s="551" t="s">
        <v>1143</v>
      </c>
      <c r="C157" s="548" t="s">
        <v>782</v>
      </c>
      <c r="D157" s="550">
        <v>22000</v>
      </c>
      <c r="E157" s="547" t="s">
        <v>782</v>
      </c>
      <c r="F157" s="547" t="s">
        <v>782</v>
      </c>
      <c r="G157" s="549" t="s">
        <v>917</v>
      </c>
      <c r="H157" s="551" t="s">
        <v>926</v>
      </c>
    </row>
    <row r="158" spans="1:8" ht="21">
      <c r="A158" s="552" t="s">
        <v>1144</v>
      </c>
      <c r="B158" s="551" t="s">
        <v>1111</v>
      </c>
      <c r="C158" s="548" t="s">
        <v>782</v>
      </c>
      <c r="D158" s="550">
        <v>33200</v>
      </c>
      <c r="E158" s="547" t="s">
        <v>782</v>
      </c>
      <c r="F158" s="547" t="s">
        <v>782</v>
      </c>
      <c r="G158" s="549" t="s">
        <v>917</v>
      </c>
      <c r="H158" s="551" t="s">
        <v>918</v>
      </c>
    </row>
    <row r="159" spans="1:8" ht="21">
      <c r="A159" s="552" t="s">
        <v>1145</v>
      </c>
      <c r="B159" s="551" t="s">
        <v>782</v>
      </c>
      <c r="C159" s="548" t="s">
        <v>1146</v>
      </c>
      <c r="D159" s="550">
        <v>31500</v>
      </c>
      <c r="E159" s="547" t="s">
        <v>782</v>
      </c>
      <c r="F159" s="547" t="s">
        <v>782</v>
      </c>
      <c r="G159" s="549" t="s">
        <v>920</v>
      </c>
      <c r="H159" s="551" t="s">
        <v>926</v>
      </c>
    </row>
    <row r="160" spans="1:8" ht="21">
      <c r="A160" s="552" t="s">
        <v>1147</v>
      </c>
      <c r="B160" s="551" t="s">
        <v>1148</v>
      </c>
      <c r="C160" s="548" t="s">
        <v>782</v>
      </c>
      <c r="D160" s="550">
        <v>400000</v>
      </c>
      <c r="E160" s="547" t="s">
        <v>782</v>
      </c>
      <c r="F160" s="547" t="s">
        <v>782</v>
      </c>
      <c r="G160" s="549" t="s">
        <v>917</v>
      </c>
      <c r="H160" s="551" t="s">
        <v>918</v>
      </c>
    </row>
    <row r="161" spans="1:8" ht="31.5">
      <c r="A161" s="552" t="s">
        <v>1149</v>
      </c>
      <c r="B161" s="551" t="s">
        <v>950</v>
      </c>
      <c r="C161" s="548" t="s">
        <v>782</v>
      </c>
      <c r="D161" s="550">
        <v>33600</v>
      </c>
      <c r="E161" s="547" t="s">
        <v>782</v>
      </c>
      <c r="F161" s="547" t="s">
        <v>782</v>
      </c>
      <c r="G161" s="549" t="s">
        <v>917</v>
      </c>
      <c r="H161" s="551" t="s">
        <v>926</v>
      </c>
    </row>
    <row r="162" spans="1:8" ht="21">
      <c r="A162" s="552" t="s">
        <v>1150</v>
      </c>
      <c r="B162" s="551" t="s">
        <v>1032</v>
      </c>
      <c r="C162" s="548" t="s">
        <v>782</v>
      </c>
      <c r="D162" s="550">
        <v>127000</v>
      </c>
      <c r="E162" s="547" t="s">
        <v>782</v>
      </c>
      <c r="F162" s="547" t="s">
        <v>782</v>
      </c>
      <c r="G162" s="549" t="s">
        <v>917</v>
      </c>
      <c r="H162" s="551" t="s">
        <v>918</v>
      </c>
    </row>
    <row r="163" spans="1:8" ht="31.5">
      <c r="A163" s="552" t="s">
        <v>1151</v>
      </c>
      <c r="B163" s="551" t="s">
        <v>1152</v>
      </c>
      <c r="C163" s="548" t="s">
        <v>782</v>
      </c>
      <c r="D163" s="550">
        <v>33000</v>
      </c>
      <c r="E163" s="547" t="s">
        <v>782</v>
      </c>
      <c r="F163" s="547" t="s">
        <v>782</v>
      </c>
      <c r="G163" s="549" t="s">
        <v>917</v>
      </c>
      <c r="H163" s="551" t="s">
        <v>926</v>
      </c>
    </row>
    <row r="164" spans="1:8" ht="21">
      <c r="A164" s="552" t="s">
        <v>1153</v>
      </c>
      <c r="B164" s="551" t="s">
        <v>782</v>
      </c>
      <c r="C164" s="548" t="s">
        <v>1154</v>
      </c>
      <c r="D164" s="550">
        <v>33000</v>
      </c>
      <c r="E164" s="547" t="s">
        <v>782</v>
      </c>
      <c r="F164" s="547" t="s">
        <v>782</v>
      </c>
      <c r="G164" s="549" t="s">
        <v>920</v>
      </c>
      <c r="H164" s="551" t="s">
        <v>926</v>
      </c>
    </row>
    <row r="165" spans="1:8" ht="21">
      <c r="A165" s="552" t="s">
        <v>1155</v>
      </c>
      <c r="B165" s="551" t="s">
        <v>1156</v>
      </c>
      <c r="C165" s="548" t="s">
        <v>782</v>
      </c>
      <c r="D165" s="550">
        <v>32999</v>
      </c>
      <c r="E165" s="547" t="s">
        <v>782</v>
      </c>
      <c r="F165" s="547" t="s">
        <v>782</v>
      </c>
      <c r="G165" s="549" t="s">
        <v>917</v>
      </c>
      <c r="H165" s="551" t="s">
        <v>918</v>
      </c>
    </row>
    <row r="166" spans="1:8" ht="21">
      <c r="A166" s="552" t="s">
        <v>1157</v>
      </c>
      <c r="B166" s="551" t="s">
        <v>1111</v>
      </c>
      <c r="C166" s="548" t="s">
        <v>782</v>
      </c>
      <c r="D166" s="550">
        <v>94000</v>
      </c>
      <c r="E166" s="547" t="s">
        <v>782</v>
      </c>
      <c r="F166" s="547" t="s">
        <v>782</v>
      </c>
      <c r="G166" s="549" t="s">
        <v>917</v>
      </c>
      <c r="H166" s="551" t="s">
        <v>918</v>
      </c>
    </row>
    <row r="167" spans="1:8" ht="31.5">
      <c r="A167" s="552" t="s">
        <v>1158</v>
      </c>
      <c r="B167" s="551" t="s">
        <v>1159</v>
      </c>
      <c r="C167" s="548" t="s">
        <v>782</v>
      </c>
      <c r="D167" s="550">
        <v>23350</v>
      </c>
      <c r="E167" s="547" t="s">
        <v>782</v>
      </c>
      <c r="F167" s="547" t="s">
        <v>782</v>
      </c>
      <c r="G167" s="549" t="s">
        <v>917</v>
      </c>
      <c r="H167" s="551" t="s">
        <v>918</v>
      </c>
    </row>
    <row r="168" spans="1:8" ht="31.5">
      <c r="A168" s="552" t="s">
        <v>1160</v>
      </c>
      <c r="B168" s="551" t="s">
        <v>782</v>
      </c>
      <c r="C168" s="548" t="s">
        <v>1161</v>
      </c>
      <c r="D168" s="550">
        <v>33500</v>
      </c>
      <c r="E168" s="547" t="s">
        <v>782</v>
      </c>
      <c r="F168" s="547" t="s">
        <v>782</v>
      </c>
      <c r="G168" s="549" t="s">
        <v>923</v>
      </c>
      <c r="H168" s="551" t="s">
        <v>918</v>
      </c>
    </row>
    <row r="169" spans="1:8" ht="21">
      <c r="A169" s="552" t="s">
        <v>1162</v>
      </c>
      <c r="B169" s="551" t="s">
        <v>782</v>
      </c>
      <c r="C169" s="548" t="s">
        <v>1163</v>
      </c>
      <c r="D169" s="550">
        <v>12000</v>
      </c>
      <c r="E169" s="547" t="s">
        <v>782</v>
      </c>
      <c r="F169" s="547" t="s">
        <v>782</v>
      </c>
      <c r="G169" s="549" t="s">
        <v>923</v>
      </c>
      <c r="H169" s="551" t="s">
        <v>921</v>
      </c>
    </row>
    <row r="170" spans="1:8" ht="21">
      <c r="A170" s="552" t="s">
        <v>1164</v>
      </c>
      <c r="B170" s="551" t="s">
        <v>782</v>
      </c>
      <c r="C170" s="548" t="s">
        <v>1165</v>
      </c>
      <c r="D170" s="550">
        <v>30000</v>
      </c>
      <c r="E170" s="547" t="s">
        <v>782</v>
      </c>
      <c r="F170" s="547" t="s">
        <v>782</v>
      </c>
      <c r="G170" s="549" t="s">
        <v>920</v>
      </c>
      <c r="H170" s="551" t="s">
        <v>921</v>
      </c>
    </row>
    <row r="171" spans="1:8" ht="21">
      <c r="A171" s="552" t="s">
        <v>1166</v>
      </c>
      <c r="B171" s="551" t="s">
        <v>971</v>
      </c>
      <c r="C171" s="548" t="s">
        <v>782</v>
      </c>
      <c r="D171" s="550">
        <v>11000</v>
      </c>
      <c r="E171" s="547" t="s">
        <v>782</v>
      </c>
      <c r="F171" s="547" t="s">
        <v>782</v>
      </c>
      <c r="G171" s="549" t="s">
        <v>917</v>
      </c>
      <c r="H171" s="551" t="s">
        <v>918</v>
      </c>
    </row>
    <row r="172" spans="1:8" ht="21">
      <c r="A172" s="552" t="s">
        <v>1167</v>
      </c>
      <c r="B172" s="551" t="s">
        <v>992</v>
      </c>
      <c r="C172" s="548" t="s">
        <v>782</v>
      </c>
      <c r="D172" s="550">
        <v>29000</v>
      </c>
      <c r="E172" s="547" t="s">
        <v>782</v>
      </c>
      <c r="F172" s="547" t="s">
        <v>782</v>
      </c>
      <c r="G172" s="549" t="s">
        <v>917</v>
      </c>
      <c r="H172" s="551" t="s">
        <v>921</v>
      </c>
    </row>
    <row r="173" spans="1:8" ht="25.5" customHeight="1">
      <c r="A173" s="552" t="s">
        <v>1168</v>
      </c>
      <c r="B173" s="551" t="s">
        <v>1169</v>
      </c>
      <c r="C173" s="548" t="s">
        <v>782</v>
      </c>
      <c r="D173" s="550">
        <v>19600</v>
      </c>
      <c r="E173" s="547" t="s">
        <v>782</v>
      </c>
      <c r="F173" s="547" t="s">
        <v>782</v>
      </c>
      <c r="G173" s="549" t="s">
        <v>917</v>
      </c>
      <c r="H173" s="551" t="s">
        <v>926</v>
      </c>
    </row>
    <row r="174" spans="1:8" ht="15.75" customHeight="1">
      <c r="A174" s="552" t="s">
        <v>1170</v>
      </c>
      <c r="B174" s="551" t="s">
        <v>1028</v>
      </c>
      <c r="C174" s="548" t="s">
        <v>782</v>
      </c>
      <c r="D174" s="550">
        <v>19500</v>
      </c>
      <c r="E174" s="547" t="s">
        <v>782</v>
      </c>
      <c r="F174" s="547" t="s">
        <v>782</v>
      </c>
      <c r="G174" s="549" t="s">
        <v>917</v>
      </c>
      <c r="H174" s="551" t="s">
        <v>918</v>
      </c>
    </row>
    <row r="175" spans="1:8" ht="21">
      <c r="A175" s="552" t="s">
        <v>1171</v>
      </c>
      <c r="B175" s="551" t="s">
        <v>996</v>
      </c>
      <c r="C175" s="548" t="s">
        <v>782</v>
      </c>
      <c r="D175" s="550">
        <v>33300</v>
      </c>
      <c r="E175" s="547" t="s">
        <v>782</v>
      </c>
      <c r="F175" s="547" t="s">
        <v>782</v>
      </c>
      <c r="G175" s="549" t="s">
        <v>917</v>
      </c>
      <c r="H175" s="551" t="s">
        <v>918</v>
      </c>
    </row>
    <row r="176" spans="1:8" ht="31.5">
      <c r="A176" s="552" t="s">
        <v>1172</v>
      </c>
      <c r="B176" s="551" t="s">
        <v>1173</v>
      </c>
      <c r="C176" s="548" t="s">
        <v>782</v>
      </c>
      <c r="D176" s="550">
        <v>6718.06</v>
      </c>
      <c r="E176" s="547" t="s">
        <v>782</v>
      </c>
      <c r="F176" s="547" t="s">
        <v>782</v>
      </c>
      <c r="G176" s="549" t="s">
        <v>917</v>
      </c>
      <c r="H176" s="551" t="s">
        <v>926</v>
      </c>
    </row>
    <row r="177" spans="1:8" ht="31.5">
      <c r="A177" s="552" t="s">
        <v>1174</v>
      </c>
      <c r="B177" s="551" t="s">
        <v>1175</v>
      </c>
      <c r="C177" s="548" t="s">
        <v>782</v>
      </c>
      <c r="D177" s="550">
        <v>33600</v>
      </c>
      <c r="E177" s="547" t="s">
        <v>782</v>
      </c>
      <c r="F177" s="547" t="s">
        <v>782</v>
      </c>
      <c r="G177" s="549" t="s">
        <v>917</v>
      </c>
      <c r="H177" s="551" t="s">
        <v>926</v>
      </c>
    </row>
    <row r="178" spans="1:8" s="658" customFormat="1">
      <c r="A178" s="659"/>
      <c r="B178" s="660"/>
      <c r="C178" s="661"/>
      <c r="D178" s="662">
        <f>SUM(D148:D177)</f>
        <v>1607792.06</v>
      </c>
      <c r="E178" s="662">
        <f t="shared" ref="E178:F178" si="4">SUM(E148:E177)</f>
        <v>0</v>
      </c>
      <c r="F178" s="662">
        <f t="shared" si="4"/>
        <v>0</v>
      </c>
      <c r="G178" s="663"/>
      <c r="H178" s="660"/>
    </row>
    <row r="179" spans="1:8" s="579" customFormat="1">
      <c r="A179" s="572"/>
      <c r="B179" s="569"/>
      <c r="C179" s="570"/>
      <c r="D179" s="573"/>
      <c r="E179" s="571"/>
      <c r="F179" s="571"/>
      <c r="G179" s="574"/>
      <c r="H179" s="569"/>
    </row>
    <row r="180" spans="1:8" s="579" customFormat="1">
      <c r="A180" s="572"/>
      <c r="B180" s="569"/>
      <c r="C180" s="570"/>
      <c r="D180" s="573"/>
      <c r="E180" s="571"/>
      <c r="F180" s="571"/>
      <c r="G180" s="574"/>
      <c r="H180" s="569"/>
    </row>
    <row r="181" spans="1:8" ht="12.75" thickBot="1">
      <c r="A181" s="616" t="s">
        <v>745</v>
      </c>
      <c r="B181" s="622"/>
      <c r="C181" s="623"/>
      <c r="D181" s="624"/>
      <c r="E181" s="625"/>
      <c r="F181" s="625"/>
      <c r="G181" s="626"/>
      <c r="H181" s="622"/>
    </row>
    <row r="182" spans="1:8" ht="12" thickBot="1">
      <c r="A182" s="1748" t="s">
        <v>42</v>
      </c>
      <c r="B182" s="1750" t="s">
        <v>337</v>
      </c>
      <c r="C182" s="1750" t="s">
        <v>338</v>
      </c>
      <c r="D182" s="564" t="s">
        <v>374</v>
      </c>
      <c r="E182" s="564" t="s">
        <v>334</v>
      </c>
      <c r="F182" s="563" t="s">
        <v>335</v>
      </c>
      <c r="G182" s="1748" t="s">
        <v>57</v>
      </c>
      <c r="H182" s="1748" t="s">
        <v>120</v>
      </c>
    </row>
    <row r="183" spans="1:8" ht="12" thickBot="1">
      <c r="A183" s="1749"/>
      <c r="B183" s="1751"/>
      <c r="C183" s="1751"/>
      <c r="D183" s="562" t="s">
        <v>333</v>
      </c>
      <c r="E183" s="562" t="s">
        <v>333</v>
      </c>
      <c r="F183" s="562" t="s">
        <v>333</v>
      </c>
      <c r="G183" s="1752"/>
      <c r="H183" s="1752"/>
    </row>
    <row r="184" spans="1:8" ht="21">
      <c r="A184" s="552" t="s">
        <v>1176</v>
      </c>
      <c r="B184" s="551" t="s">
        <v>1177</v>
      </c>
      <c r="C184" s="548" t="s">
        <v>782</v>
      </c>
      <c r="D184" s="550">
        <v>30000</v>
      </c>
      <c r="E184" s="547" t="s">
        <v>782</v>
      </c>
      <c r="F184" s="547" t="s">
        <v>782</v>
      </c>
      <c r="G184" s="549" t="s">
        <v>917</v>
      </c>
      <c r="H184" s="551" t="s">
        <v>921</v>
      </c>
    </row>
    <row r="185" spans="1:8" ht="21">
      <c r="A185" s="552" t="s">
        <v>1178</v>
      </c>
      <c r="B185" s="551" t="s">
        <v>1179</v>
      </c>
      <c r="C185" s="548" t="s">
        <v>782</v>
      </c>
      <c r="D185" s="550">
        <v>33000</v>
      </c>
      <c r="E185" s="547" t="s">
        <v>782</v>
      </c>
      <c r="F185" s="547" t="s">
        <v>782</v>
      </c>
      <c r="G185" s="549" t="s">
        <v>917</v>
      </c>
      <c r="H185" s="551" t="s">
        <v>921</v>
      </c>
    </row>
    <row r="186" spans="1:8" ht="31.5">
      <c r="A186" s="552" t="s">
        <v>1180</v>
      </c>
      <c r="B186" s="551" t="s">
        <v>981</v>
      </c>
      <c r="C186" s="548" t="s">
        <v>782</v>
      </c>
      <c r="D186" s="550">
        <v>33600</v>
      </c>
      <c r="E186" s="547" t="s">
        <v>782</v>
      </c>
      <c r="F186" s="547" t="s">
        <v>782</v>
      </c>
      <c r="G186" s="549" t="s">
        <v>917</v>
      </c>
      <c r="H186" s="551" t="s">
        <v>926</v>
      </c>
    </row>
    <row r="187" spans="1:8" ht="21">
      <c r="A187" s="552" t="s">
        <v>1181</v>
      </c>
      <c r="B187" s="551" t="s">
        <v>956</v>
      </c>
      <c r="C187" s="548" t="s">
        <v>782</v>
      </c>
      <c r="D187" s="550">
        <v>20000</v>
      </c>
      <c r="E187" s="547" t="s">
        <v>782</v>
      </c>
      <c r="F187" s="547" t="s">
        <v>782</v>
      </c>
      <c r="G187" s="549" t="s">
        <v>917</v>
      </c>
      <c r="H187" s="551" t="s">
        <v>921</v>
      </c>
    </row>
    <row r="188" spans="1:8" ht="31.5">
      <c r="A188" s="552" t="s">
        <v>1182</v>
      </c>
      <c r="B188" s="551" t="s">
        <v>942</v>
      </c>
      <c r="C188" s="548" t="s">
        <v>782</v>
      </c>
      <c r="D188" s="550">
        <v>20000</v>
      </c>
      <c r="E188" s="547" t="s">
        <v>782</v>
      </c>
      <c r="F188" s="547" t="s">
        <v>782</v>
      </c>
      <c r="G188" s="549" t="s">
        <v>1183</v>
      </c>
      <c r="H188" s="551" t="s">
        <v>918</v>
      </c>
    </row>
    <row r="189" spans="1:8" ht="31.5">
      <c r="A189" s="552" t="s">
        <v>1184</v>
      </c>
      <c r="B189" s="551" t="s">
        <v>782</v>
      </c>
      <c r="C189" s="548" t="s">
        <v>1053</v>
      </c>
      <c r="D189" s="550">
        <v>15500</v>
      </c>
      <c r="E189" s="547" t="s">
        <v>782</v>
      </c>
      <c r="F189" s="547" t="s">
        <v>782</v>
      </c>
      <c r="G189" s="549" t="s">
        <v>920</v>
      </c>
      <c r="H189" s="551" t="s">
        <v>926</v>
      </c>
    </row>
    <row r="190" spans="1:8" ht="28.5" customHeight="1">
      <c r="A190" s="552" t="s">
        <v>1185</v>
      </c>
      <c r="B190" s="551" t="s">
        <v>782</v>
      </c>
      <c r="C190" s="548" t="s">
        <v>1186</v>
      </c>
      <c r="D190" s="550">
        <v>33000</v>
      </c>
      <c r="E190" s="547" t="s">
        <v>782</v>
      </c>
      <c r="F190" s="547" t="s">
        <v>782</v>
      </c>
      <c r="G190" s="549" t="s">
        <v>923</v>
      </c>
      <c r="H190" s="551" t="s">
        <v>918</v>
      </c>
    </row>
    <row r="191" spans="1:8" ht="21">
      <c r="A191" s="552" t="s">
        <v>1187</v>
      </c>
      <c r="B191" s="551" t="s">
        <v>958</v>
      </c>
      <c r="C191" s="548" t="s">
        <v>782</v>
      </c>
      <c r="D191" s="550">
        <v>36000</v>
      </c>
      <c r="E191" s="547" t="s">
        <v>782</v>
      </c>
      <c r="F191" s="547" t="s">
        <v>782</v>
      </c>
      <c r="G191" s="549" t="s">
        <v>917</v>
      </c>
      <c r="H191" s="551" t="s">
        <v>918</v>
      </c>
    </row>
    <row r="192" spans="1:8" ht="31.5">
      <c r="A192" s="552" t="s">
        <v>1188</v>
      </c>
      <c r="B192" s="551" t="s">
        <v>1173</v>
      </c>
      <c r="C192" s="548" t="s">
        <v>782</v>
      </c>
      <c r="D192" s="550" t="s">
        <v>782</v>
      </c>
      <c r="E192" s="550">
        <v>26872.23</v>
      </c>
      <c r="F192" s="547"/>
      <c r="G192" s="549" t="s">
        <v>917</v>
      </c>
      <c r="H192" s="551" t="s">
        <v>926</v>
      </c>
    </row>
    <row r="193" spans="1:8" ht="21">
      <c r="A193" s="552" t="s">
        <v>1189</v>
      </c>
      <c r="B193" s="551" t="s">
        <v>1139</v>
      </c>
      <c r="C193" s="548" t="s">
        <v>782</v>
      </c>
      <c r="D193" s="550" t="s">
        <v>782</v>
      </c>
      <c r="E193" s="550">
        <v>222600</v>
      </c>
      <c r="F193" s="547"/>
      <c r="G193" s="549" t="s">
        <v>917</v>
      </c>
      <c r="H193" s="551" t="s">
        <v>921</v>
      </c>
    </row>
    <row r="194" spans="1:8" ht="14.25" customHeight="1">
      <c r="A194" s="552" t="s">
        <v>1190</v>
      </c>
      <c r="B194" s="551" t="s">
        <v>952</v>
      </c>
      <c r="C194" s="548" t="s">
        <v>782</v>
      </c>
      <c r="D194" s="550" t="s">
        <v>782</v>
      </c>
      <c r="E194" s="550">
        <v>33500</v>
      </c>
      <c r="F194" s="547"/>
      <c r="G194" s="549" t="s">
        <v>917</v>
      </c>
      <c r="H194" s="551" t="s">
        <v>921</v>
      </c>
    </row>
    <row r="195" spans="1:8" ht="26.25" customHeight="1">
      <c r="A195" s="552" t="s">
        <v>1191</v>
      </c>
      <c r="B195" s="551" t="s">
        <v>1192</v>
      </c>
      <c r="C195" s="548" t="s">
        <v>782</v>
      </c>
      <c r="D195" s="550" t="s">
        <v>782</v>
      </c>
      <c r="E195" s="547" t="s">
        <v>782</v>
      </c>
      <c r="F195" s="550">
        <v>34400</v>
      </c>
      <c r="G195" s="549" t="s">
        <v>917</v>
      </c>
      <c r="H195" s="551" t="s">
        <v>926</v>
      </c>
    </row>
    <row r="196" spans="1:8" ht="21">
      <c r="A196" s="552" t="s">
        <v>1193</v>
      </c>
      <c r="B196" s="551" t="s">
        <v>1118</v>
      </c>
      <c r="C196" s="548" t="s">
        <v>782</v>
      </c>
      <c r="D196" s="550" t="s">
        <v>782</v>
      </c>
      <c r="E196" s="547" t="s">
        <v>782</v>
      </c>
      <c r="F196" s="550">
        <v>92500</v>
      </c>
      <c r="G196" s="549" t="s">
        <v>917</v>
      </c>
      <c r="H196" s="551" t="s">
        <v>918</v>
      </c>
    </row>
    <row r="197" spans="1:8" ht="21">
      <c r="A197" s="552" t="s">
        <v>1194</v>
      </c>
      <c r="B197" s="551" t="s">
        <v>1037</v>
      </c>
      <c r="C197" s="548" t="s">
        <v>782</v>
      </c>
      <c r="D197" s="550" t="s">
        <v>782</v>
      </c>
      <c r="E197" s="547" t="s">
        <v>782</v>
      </c>
      <c r="F197" s="550">
        <v>17700</v>
      </c>
      <c r="G197" s="549" t="s">
        <v>917</v>
      </c>
      <c r="H197" s="551" t="s">
        <v>918</v>
      </c>
    </row>
    <row r="198" spans="1:8" ht="31.5">
      <c r="A198" s="552" t="s">
        <v>1195</v>
      </c>
      <c r="B198" s="551" t="s">
        <v>1196</v>
      </c>
      <c r="C198" s="548" t="s">
        <v>782</v>
      </c>
      <c r="D198" s="550" t="s">
        <v>782</v>
      </c>
      <c r="E198" s="547" t="s">
        <v>782</v>
      </c>
      <c r="F198" s="550">
        <v>28000</v>
      </c>
      <c r="G198" s="549" t="s">
        <v>917</v>
      </c>
      <c r="H198" s="551" t="s">
        <v>918</v>
      </c>
    </row>
    <row r="199" spans="1:8" ht="21">
      <c r="A199" s="552" t="s">
        <v>1197</v>
      </c>
      <c r="B199" s="551" t="s">
        <v>1198</v>
      </c>
      <c r="C199" s="548" t="s">
        <v>782</v>
      </c>
      <c r="D199" s="550" t="s">
        <v>782</v>
      </c>
      <c r="E199" s="547" t="s">
        <v>782</v>
      </c>
      <c r="F199" s="550">
        <v>1450000</v>
      </c>
      <c r="G199" s="549" t="s">
        <v>917</v>
      </c>
      <c r="H199" s="551" t="s">
        <v>918</v>
      </c>
    </row>
    <row r="200" spans="1:8" ht="21">
      <c r="A200" s="552" t="s">
        <v>1199</v>
      </c>
      <c r="B200" s="551" t="s">
        <v>986</v>
      </c>
      <c r="C200" s="548" t="s">
        <v>782</v>
      </c>
      <c r="D200" s="550" t="s">
        <v>782</v>
      </c>
      <c r="E200" s="547" t="s">
        <v>782</v>
      </c>
      <c r="F200" s="550">
        <v>34400</v>
      </c>
      <c r="G200" s="549" t="s">
        <v>917</v>
      </c>
      <c r="H200" s="551" t="s">
        <v>918</v>
      </c>
    </row>
    <row r="201" spans="1:8" ht="31.5">
      <c r="A201" s="552" t="s">
        <v>1200</v>
      </c>
      <c r="B201" s="548" t="s">
        <v>782</v>
      </c>
      <c r="C201" s="551">
        <v>43747103</v>
      </c>
      <c r="D201" s="550" t="s">
        <v>782</v>
      </c>
      <c r="E201" s="550">
        <v>31000</v>
      </c>
      <c r="F201" s="547" t="s">
        <v>782</v>
      </c>
      <c r="G201" s="549" t="s">
        <v>920</v>
      </c>
      <c r="H201" s="551" t="s">
        <v>926</v>
      </c>
    </row>
    <row r="202" spans="1:8" ht="21">
      <c r="A202" s="552" t="s">
        <v>1201</v>
      </c>
      <c r="B202" s="548" t="s">
        <v>782</v>
      </c>
      <c r="C202" s="551">
        <v>46489818</v>
      </c>
      <c r="D202" s="550" t="s">
        <v>782</v>
      </c>
      <c r="E202" s="550" t="s">
        <v>782</v>
      </c>
      <c r="F202" s="550">
        <v>18000</v>
      </c>
      <c r="G202" s="549" t="s">
        <v>920</v>
      </c>
      <c r="H202" s="551" t="s">
        <v>918</v>
      </c>
    </row>
    <row r="203" spans="1:8" ht="21">
      <c r="A203" s="552" t="s">
        <v>1202</v>
      </c>
      <c r="B203" s="548" t="s">
        <v>782</v>
      </c>
      <c r="C203" s="551">
        <v>25577282</v>
      </c>
      <c r="D203" s="550" t="s">
        <v>782</v>
      </c>
      <c r="E203" s="550" t="s">
        <v>782</v>
      </c>
      <c r="F203" s="550">
        <v>33000</v>
      </c>
      <c r="G203" s="549" t="s">
        <v>920</v>
      </c>
      <c r="H203" s="551" t="s">
        <v>921</v>
      </c>
    </row>
    <row r="204" spans="1:8" ht="31.5">
      <c r="A204" s="552" t="s">
        <v>1203</v>
      </c>
      <c r="B204" s="548" t="s">
        <v>782</v>
      </c>
      <c r="C204" s="551" t="s">
        <v>1069</v>
      </c>
      <c r="D204" s="550" t="s">
        <v>782</v>
      </c>
      <c r="E204" s="550" t="s">
        <v>782</v>
      </c>
      <c r="F204" s="550">
        <v>15747.69</v>
      </c>
      <c r="G204" s="549" t="s">
        <v>920</v>
      </c>
      <c r="H204" s="551" t="s">
        <v>918</v>
      </c>
    </row>
    <row r="205" spans="1:8">
      <c r="A205" s="582"/>
      <c r="B205" s="584"/>
      <c r="C205" s="583"/>
      <c r="D205" s="585"/>
      <c r="E205" s="585"/>
      <c r="F205" s="585"/>
      <c r="G205" s="612"/>
      <c r="H205" s="583"/>
    </row>
    <row r="206" spans="1:8">
      <c r="A206" s="613"/>
      <c r="B206" s="577"/>
      <c r="C206" s="575"/>
      <c r="D206" s="578"/>
      <c r="E206" s="578"/>
      <c r="F206" s="578"/>
      <c r="G206" s="615"/>
      <c r="H206" s="575"/>
    </row>
    <row r="207" spans="1:8">
      <c r="A207" s="613"/>
      <c r="B207" s="577"/>
      <c r="C207" s="575"/>
      <c r="D207" s="578"/>
      <c r="E207" s="578"/>
      <c r="F207" s="578"/>
      <c r="G207" s="615"/>
      <c r="H207" s="575"/>
    </row>
    <row r="208" spans="1:8" s="658" customFormat="1">
      <c r="A208" s="709"/>
      <c r="B208" s="654"/>
      <c r="C208" s="655"/>
      <c r="D208" s="656">
        <f>SUM(D184:D204)</f>
        <v>221100</v>
      </c>
      <c r="E208" s="656">
        <f t="shared" ref="E208:F208" si="5">SUM(E184:E204)</f>
        <v>313972.23</v>
      </c>
      <c r="F208" s="656">
        <f t="shared" si="5"/>
        <v>1723747.69</v>
      </c>
      <c r="G208" s="657"/>
      <c r="H208" s="655"/>
    </row>
    <row r="209" spans="1:8">
      <c r="A209" s="576"/>
      <c r="B209" s="577"/>
      <c r="C209" s="575"/>
      <c r="D209" s="578"/>
      <c r="E209" s="578"/>
      <c r="F209" s="578"/>
      <c r="G209" s="615"/>
      <c r="H209" s="575"/>
    </row>
    <row r="210" spans="1:8" ht="12.75" thickBot="1">
      <c r="A210" s="616" t="s">
        <v>745</v>
      </c>
      <c r="B210" s="577"/>
      <c r="C210" s="575"/>
      <c r="D210" s="578"/>
      <c r="E210" s="578"/>
      <c r="F210" s="578"/>
      <c r="G210" s="615"/>
      <c r="H210" s="575"/>
    </row>
    <row r="211" spans="1:8" ht="12" customHeight="1" thickBot="1">
      <c r="A211" s="1748" t="s">
        <v>42</v>
      </c>
      <c r="B211" s="1750" t="s">
        <v>337</v>
      </c>
      <c r="C211" s="1750" t="s">
        <v>338</v>
      </c>
      <c r="D211" s="564" t="s">
        <v>374</v>
      </c>
      <c r="E211" s="564" t="s">
        <v>334</v>
      </c>
      <c r="F211" s="563" t="s">
        <v>335</v>
      </c>
      <c r="G211" s="1748" t="s">
        <v>57</v>
      </c>
      <c r="H211" s="1748" t="s">
        <v>120</v>
      </c>
    </row>
    <row r="212" spans="1:8" ht="12" thickBot="1">
      <c r="A212" s="1749"/>
      <c r="B212" s="1751"/>
      <c r="C212" s="1751"/>
      <c r="D212" s="562" t="s">
        <v>333</v>
      </c>
      <c r="E212" s="562" t="s">
        <v>333</v>
      </c>
      <c r="F212" s="562" t="s">
        <v>333</v>
      </c>
      <c r="G212" s="1752"/>
      <c r="H212" s="1752"/>
    </row>
    <row r="213" spans="1:8" ht="17.25" customHeight="1">
      <c r="A213" s="628" t="s">
        <v>1204</v>
      </c>
      <c r="B213" s="629"/>
      <c r="C213" s="630"/>
      <c r="D213" s="631"/>
      <c r="E213" s="632"/>
      <c r="F213" s="633"/>
      <c r="G213" s="634"/>
      <c r="H213" s="710"/>
    </row>
    <row r="214" spans="1:8" ht="31.5">
      <c r="A214" s="711" t="s">
        <v>1205</v>
      </c>
      <c r="B214" s="635"/>
      <c r="C214" s="635" t="s">
        <v>1206</v>
      </c>
      <c r="D214" s="636">
        <v>22000</v>
      </c>
      <c r="E214" s="637">
        <v>0</v>
      </c>
      <c r="F214" s="637">
        <v>0</v>
      </c>
      <c r="G214" s="638" t="s">
        <v>1207</v>
      </c>
      <c r="H214" s="712" t="s">
        <v>918</v>
      </c>
    </row>
    <row r="215" spans="1:8" ht="42">
      <c r="A215" s="713" t="s">
        <v>1208</v>
      </c>
      <c r="B215" s="639"/>
      <c r="C215" s="639" t="s">
        <v>1209</v>
      </c>
      <c r="D215" s="640">
        <v>32000</v>
      </c>
      <c r="E215" s="641">
        <v>0</v>
      </c>
      <c r="F215" s="641">
        <v>0</v>
      </c>
      <c r="G215" s="642" t="s">
        <v>1207</v>
      </c>
      <c r="H215" s="712" t="s">
        <v>918</v>
      </c>
    </row>
    <row r="216" spans="1:8" ht="21">
      <c r="A216" s="713" t="s">
        <v>1210</v>
      </c>
      <c r="B216" s="639"/>
      <c r="C216" s="639" t="s">
        <v>1211</v>
      </c>
      <c r="D216" s="640">
        <v>22500</v>
      </c>
      <c r="E216" s="641">
        <v>0</v>
      </c>
      <c r="F216" s="641">
        <v>0</v>
      </c>
      <c r="G216" s="642" t="s">
        <v>1207</v>
      </c>
      <c r="H216" s="712" t="s">
        <v>918</v>
      </c>
    </row>
    <row r="217" spans="1:8" ht="31.5">
      <c r="A217" s="713" t="s">
        <v>1212</v>
      </c>
      <c r="B217" s="639"/>
      <c r="C217" s="639" t="s">
        <v>1213</v>
      </c>
      <c r="D217" s="640">
        <v>10000</v>
      </c>
      <c r="E217" s="641">
        <v>0</v>
      </c>
      <c r="F217" s="641">
        <v>0</v>
      </c>
      <c r="G217" s="642" t="s">
        <v>1207</v>
      </c>
      <c r="H217" s="712" t="s">
        <v>918</v>
      </c>
    </row>
    <row r="218" spans="1:8" ht="31.5">
      <c r="A218" s="713" t="s">
        <v>1214</v>
      </c>
      <c r="B218" s="639"/>
      <c r="C218" s="639" t="s">
        <v>1213</v>
      </c>
      <c r="D218" s="640">
        <v>1500</v>
      </c>
      <c r="E218" s="641">
        <v>0</v>
      </c>
      <c r="F218" s="641">
        <v>0</v>
      </c>
      <c r="G218" s="642" t="s">
        <v>1207</v>
      </c>
      <c r="H218" s="712" t="s">
        <v>918</v>
      </c>
    </row>
    <row r="219" spans="1:8" ht="31.5">
      <c r="A219" s="713" t="s">
        <v>1215</v>
      </c>
      <c r="B219" s="639"/>
      <c r="C219" s="639" t="s">
        <v>1216</v>
      </c>
      <c r="D219" s="640">
        <v>9000</v>
      </c>
      <c r="E219" s="641">
        <v>0</v>
      </c>
      <c r="F219" s="641">
        <v>0</v>
      </c>
      <c r="G219" s="642" t="s">
        <v>1207</v>
      </c>
      <c r="H219" s="712" t="s">
        <v>918</v>
      </c>
    </row>
    <row r="220" spans="1:8" ht="42">
      <c r="A220" s="713" t="s">
        <v>1217</v>
      </c>
      <c r="B220" s="639"/>
      <c r="C220" s="639" t="s">
        <v>1218</v>
      </c>
      <c r="D220" s="640">
        <v>30000</v>
      </c>
      <c r="E220" s="641">
        <v>0</v>
      </c>
      <c r="F220" s="641">
        <v>0</v>
      </c>
      <c r="G220" s="642" t="s">
        <v>1207</v>
      </c>
      <c r="H220" s="712" t="s">
        <v>918</v>
      </c>
    </row>
    <row r="221" spans="1:8" ht="27.75" customHeight="1">
      <c r="A221" s="713" t="s">
        <v>1219</v>
      </c>
      <c r="B221" s="639"/>
      <c r="C221" s="639" t="s">
        <v>1220</v>
      </c>
      <c r="D221" s="640">
        <v>30000</v>
      </c>
      <c r="E221" s="641">
        <v>0</v>
      </c>
      <c r="F221" s="641">
        <v>0</v>
      </c>
      <c r="G221" s="642" t="s">
        <v>1207</v>
      </c>
      <c r="H221" s="712" t="s">
        <v>918</v>
      </c>
    </row>
    <row r="222" spans="1:8" ht="31.5">
      <c r="A222" s="713" t="s">
        <v>1221</v>
      </c>
      <c r="B222" s="639"/>
      <c r="C222" s="639" t="s">
        <v>1222</v>
      </c>
      <c r="D222" s="640">
        <v>12000</v>
      </c>
      <c r="E222" s="641">
        <v>0</v>
      </c>
      <c r="F222" s="641">
        <v>0</v>
      </c>
      <c r="G222" s="642" t="s">
        <v>1207</v>
      </c>
      <c r="H222" s="712" t="s">
        <v>918</v>
      </c>
    </row>
    <row r="223" spans="1:8" ht="31.5">
      <c r="A223" s="713" t="s">
        <v>1223</v>
      </c>
      <c r="B223" s="639" t="s">
        <v>1224</v>
      </c>
      <c r="C223" s="639" t="s">
        <v>97</v>
      </c>
      <c r="D223" s="640">
        <v>31400</v>
      </c>
      <c r="E223" s="641">
        <v>0</v>
      </c>
      <c r="F223" s="641">
        <v>0</v>
      </c>
      <c r="G223" s="642" t="s">
        <v>1207</v>
      </c>
      <c r="H223" s="712" t="s">
        <v>918</v>
      </c>
    </row>
    <row r="224" spans="1:8" ht="31.5">
      <c r="A224" s="713" t="s">
        <v>1225</v>
      </c>
      <c r="B224" s="639" t="s">
        <v>1226</v>
      </c>
      <c r="C224" s="639" t="s">
        <v>97</v>
      </c>
      <c r="D224" s="641">
        <v>0</v>
      </c>
      <c r="E224" s="640">
        <v>34000</v>
      </c>
      <c r="F224" s="641">
        <v>0</v>
      </c>
      <c r="G224" s="642" t="s">
        <v>1207</v>
      </c>
      <c r="H224" s="712" t="s">
        <v>918</v>
      </c>
    </row>
    <row r="225" spans="1:8" ht="21">
      <c r="A225" s="713" t="s">
        <v>1227</v>
      </c>
      <c r="B225" s="639" t="s">
        <v>1037</v>
      </c>
      <c r="C225" s="639" t="s">
        <v>97</v>
      </c>
      <c r="D225" s="641">
        <v>0</v>
      </c>
      <c r="E225" s="640">
        <v>32450</v>
      </c>
      <c r="F225" s="641">
        <v>0</v>
      </c>
      <c r="G225" s="642" t="s">
        <v>1207</v>
      </c>
      <c r="H225" s="712" t="s">
        <v>918</v>
      </c>
    </row>
    <row r="226" spans="1:8" ht="21">
      <c r="A226" s="713" t="s">
        <v>1228</v>
      </c>
      <c r="B226" s="639" t="s">
        <v>1229</v>
      </c>
      <c r="C226" s="639" t="s">
        <v>97</v>
      </c>
      <c r="D226" s="641">
        <v>0</v>
      </c>
      <c r="E226" s="640">
        <v>20060</v>
      </c>
      <c r="F226" s="641">
        <v>0</v>
      </c>
      <c r="G226" s="642" t="s">
        <v>1207</v>
      </c>
      <c r="H226" s="712" t="s">
        <v>918</v>
      </c>
    </row>
    <row r="227" spans="1:8" ht="52.5">
      <c r="A227" s="713" t="s">
        <v>1230</v>
      </c>
      <c r="B227" s="639" t="s">
        <v>1229</v>
      </c>
      <c r="C227" s="639" t="s">
        <v>97</v>
      </c>
      <c r="D227" s="641">
        <v>0</v>
      </c>
      <c r="E227" s="640">
        <v>10620</v>
      </c>
      <c r="F227" s="641">
        <v>0</v>
      </c>
      <c r="G227" s="642" t="s">
        <v>1207</v>
      </c>
      <c r="H227" s="712" t="s">
        <v>918</v>
      </c>
    </row>
    <row r="228" spans="1:8" ht="31.5">
      <c r="A228" s="713" t="s">
        <v>1231</v>
      </c>
      <c r="B228" s="643" t="s">
        <v>97</v>
      </c>
      <c r="C228" s="639" t="s">
        <v>1232</v>
      </c>
      <c r="D228" s="641">
        <v>0</v>
      </c>
      <c r="E228" s="640">
        <v>33000</v>
      </c>
      <c r="F228" s="641">
        <v>0</v>
      </c>
      <c r="G228" s="642" t="s">
        <v>1207</v>
      </c>
      <c r="H228" s="712" t="s">
        <v>918</v>
      </c>
    </row>
    <row r="229" spans="1:8" ht="42">
      <c r="A229" s="713" t="s">
        <v>1233</v>
      </c>
      <c r="B229" s="643"/>
      <c r="C229" s="639" t="s">
        <v>1234</v>
      </c>
      <c r="D229" s="641">
        <v>0</v>
      </c>
      <c r="E229" s="640">
        <v>33600</v>
      </c>
      <c r="F229" s="641">
        <v>0</v>
      </c>
      <c r="G229" s="642" t="s">
        <v>1207</v>
      </c>
      <c r="H229" s="712" t="s">
        <v>918</v>
      </c>
    </row>
    <row r="230" spans="1:8" ht="21">
      <c r="A230" s="713" t="s">
        <v>1235</v>
      </c>
      <c r="B230" s="643"/>
      <c r="C230" s="639" t="s">
        <v>1236</v>
      </c>
      <c r="D230" s="641">
        <v>0</v>
      </c>
      <c r="E230" s="640">
        <v>32000</v>
      </c>
      <c r="F230" s="641">
        <v>0</v>
      </c>
      <c r="G230" s="642" t="s">
        <v>1207</v>
      </c>
      <c r="H230" s="712" t="s">
        <v>918</v>
      </c>
    </row>
    <row r="231" spans="1:8" ht="42">
      <c r="A231" s="713" t="s">
        <v>1237</v>
      </c>
      <c r="B231" s="643"/>
      <c r="C231" s="639" t="s">
        <v>1238</v>
      </c>
      <c r="D231" s="641">
        <v>0</v>
      </c>
      <c r="E231" s="640">
        <v>33500</v>
      </c>
      <c r="F231" s="641">
        <v>0</v>
      </c>
      <c r="G231" s="642" t="s">
        <v>1207</v>
      </c>
      <c r="H231" s="712" t="s">
        <v>918</v>
      </c>
    </row>
    <row r="232" spans="1:8" ht="31.5">
      <c r="A232" s="713" t="s">
        <v>1239</v>
      </c>
      <c r="B232" s="643"/>
      <c r="C232" s="639" t="s">
        <v>1240</v>
      </c>
      <c r="D232" s="641">
        <v>0</v>
      </c>
      <c r="E232" s="640">
        <v>24000</v>
      </c>
      <c r="F232" s="641">
        <v>0</v>
      </c>
      <c r="G232" s="642" t="s">
        <v>1207</v>
      </c>
      <c r="H232" s="712" t="s">
        <v>918</v>
      </c>
    </row>
    <row r="233" spans="1:8" ht="21">
      <c r="A233" s="713" t="s">
        <v>1241</v>
      </c>
      <c r="B233" s="643"/>
      <c r="C233" s="639" t="s">
        <v>1242</v>
      </c>
      <c r="D233" s="641">
        <v>0</v>
      </c>
      <c r="E233" s="640">
        <v>31500</v>
      </c>
      <c r="F233" s="641">
        <v>0</v>
      </c>
      <c r="G233" s="642" t="s">
        <v>1207</v>
      </c>
      <c r="H233" s="712" t="s">
        <v>918</v>
      </c>
    </row>
    <row r="234" spans="1:8" ht="21">
      <c r="A234" s="713" t="s">
        <v>1243</v>
      </c>
      <c r="B234" s="643"/>
      <c r="C234" s="639" t="s">
        <v>1234</v>
      </c>
      <c r="D234" s="641">
        <v>0</v>
      </c>
      <c r="E234" s="640">
        <v>34400</v>
      </c>
      <c r="F234" s="641">
        <v>0</v>
      </c>
      <c r="G234" s="642" t="s">
        <v>1207</v>
      </c>
      <c r="H234" s="712" t="s">
        <v>918</v>
      </c>
    </row>
    <row r="235" spans="1:8" ht="21">
      <c r="A235" s="713" t="s">
        <v>1244</v>
      </c>
      <c r="B235" s="643"/>
      <c r="C235" s="639" t="s">
        <v>1245</v>
      </c>
      <c r="D235" s="641">
        <v>0</v>
      </c>
      <c r="E235" s="640">
        <v>24000</v>
      </c>
      <c r="F235" s="641">
        <v>0</v>
      </c>
      <c r="G235" s="642" t="s">
        <v>1207</v>
      </c>
      <c r="H235" s="712" t="s">
        <v>918</v>
      </c>
    </row>
    <row r="236" spans="1:8" ht="27" customHeight="1" thickBot="1">
      <c r="A236" s="714" t="s">
        <v>1246</v>
      </c>
      <c r="B236" s="645"/>
      <c r="C236" s="644" t="s">
        <v>1247</v>
      </c>
      <c r="D236" s="646">
        <v>0</v>
      </c>
      <c r="E236" s="647">
        <v>20000</v>
      </c>
      <c r="F236" s="646">
        <v>0</v>
      </c>
      <c r="G236" s="648" t="s">
        <v>1207</v>
      </c>
      <c r="H236" s="715" t="s">
        <v>918</v>
      </c>
    </row>
    <row r="237" spans="1:8" ht="17.25" hidden="1" customHeight="1" thickBot="1">
      <c r="A237" s="716"/>
      <c r="B237" s="650"/>
      <c r="C237" s="649"/>
      <c r="D237" s="651">
        <f>SUM(D214:D236)</f>
        <v>200400</v>
      </c>
      <c r="E237" s="651">
        <f t="shared" ref="E237:F237" si="6">SUM(E214:E236)</f>
        <v>363130</v>
      </c>
      <c r="F237" s="651">
        <f t="shared" si="6"/>
        <v>0</v>
      </c>
      <c r="G237" s="652"/>
      <c r="H237" s="715"/>
    </row>
    <row r="238" spans="1:8" ht="22.5" customHeight="1" thickBot="1">
      <c r="A238" s="416" t="s">
        <v>43</v>
      </c>
      <c r="B238" s="417"/>
      <c r="C238" s="417"/>
      <c r="D238" s="653">
        <f>+D237+D208+D178+D108+D143+D71+D38</f>
        <v>6219825.0899999999</v>
      </c>
      <c r="E238" s="653">
        <f t="shared" ref="E238:F238" si="7">+E237+E208+E178+E108+E143+E71+E38</f>
        <v>677102.23</v>
      </c>
      <c r="F238" s="653">
        <f t="shared" si="7"/>
        <v>1723747.69</v>
      </c>
      <c r="G238" s="567"/>
      <c r="H238" s="567"/>
    </row>
    <row r="239" spans="1:8">
      <c r="A239" s="419"/>
      <c r="B239" s="419"/>
      <c r="C239" s="419"/>
      <c r="D239" s="415"/>
      <c r="E239" s="415"/>
      <c r="F239" s="415"/>
    </row>
    <row r="240" spans="1:8">
      <c r="A240" s="420" t="s">
        <v>58</v>
      </c>
      <c r="B240" s="420"/>
      <c r="C240" s="420"/>
      <c r="D240" s="415"/>
      <c r="E240" s="415"/>
      <c r="F240" s="415"/>
    </row>
    <row r="241" spans="1:8">
      <c r="A241" s="568" t="s">
        <v>121</v>
      </c>
      <c r="B241" s="568"/>
      <c r="C241" s="568"/>
      <c r="D241" s="415"/>
      <c r="E241" s="415"/>
      <c r="F241" s="415"/>
    </row>
    <row r="244" spans="1:8" ht="13.5" thickBot="1">
      <c r="A244" s="587" t="s">
        <v>549</v>
      </c>
      <c r="B244" s="588"/>
      <c r="C244" s="588"/>
      <c r="D244" s="589"/>
      <c r="E244" s="589"/>
      <c r="F244" s="586"/>
      <c r="G244" s="586"/>
      <c r="H244" s="586"/>
    </row>
    <row r="245" spans="1:8" ht="12.75" thickBot="1">
      <c r="A245" s="1753" t="s">
        <v>42</v>
      </c>
      <c r="B245" s="1755" t="s">
        <v>337</v>
      </c>
      <c r="C245" s="1755" t="s">
        <v>338</v>
      </c>
      <c r="D245" s="590" t="s">
        <v>1248</v>
      </c>
      <c r="E245" s="591" t="s">
        <v>1249</v>
      </c>
      <c r="F245" s="591" t="s">
        <v>1250</v>
      </c>
      <c r="G245" s="1755" t="s">
        <v>57</v>
      </c>
      <c r="H245" s="1753" t="s">
        <v>120</v>
      </c>
    </row>
    <row r="246" spans="1:8" ht="12">
      <c r="A246" s="1753"/>
      <c r="B246" s="1755"/>
      <c r="C246" s="1755"/>
      <c r="D246" s="596" t="s">
        <v>333</v>
      </c>
      <c r="E246" s="597" t="s">
        <v>333</v>
      </c>
      <c r="F246" s="597" t="s">
        <v>333</v>
      </c>
      <c r="G246" s="1758"/>
      <c r="H246" s="1759"/>
    </row>
    <row r="247" spans="1:8" ht="73.5">
      <c r="A247" s="675" t="s">
        <v>1251</v>
      </c>
      <c r="B247" s="676" t="s">
        <v>1252</v>
      </c>
      <c r="C247" s="677"/>
      <c r="D247" s="678">
        <v>312808.56</v>
      </c>
      <c r="E247" s="678">
        <v>0</v>
      </c>
      <c r="F247" s="678">
        <v>42904.800000000003</v>
      </c>
      <c r="G247" s="676" t="s">
        <v>1253</v>
      </c>
      <c r="H247" s="679" t="s">
        <v>1254</v>
      </c>
    </row>
    <row r="248" spans="1:8" ht="31.5">
      <c r="A248" s="675" t="s">
        <v>1255</v>
      </c>
      <c r="B248" s="676" t="s">
        <v>1256</v>
      </c>
      <c r="C248" s="677"/>
      <c r="D248" s="678">
        <v>13098.44</v>
      </c>
      <c r="E248" s="678">
        <v>0</v>
      </c>
      <c r="F248" s="678">
        <v>6549</v>
      </c>
      <c r="G248" s="677" t="s">
        <v>1257</v>
      </c>
      <c r="H248" s="679" t="s">
        <v>1254</v>
      </c>
    </row>
    <row r="249" spans="1:8" ht="42">
      <c r="A249" s="675" t="s">
        <v>1258</v>
      </c>
      <c r="B249" s="676" t="s">
        <v>1259</v>
      </c>
      <c r="C249" s="677"/>
      <c r="D249" s="678">
        <v>0</v>
      </c>
      <c r="E249" s="678"/>
      <c r="F249" s="678">
        <v>0</v>
      </c>
      <c r="G249" s="677" t="s">
        <v>1257</v>
      </c>
      <c r="H249" s="679" t="s">
        <v>1254</v>
      </c>
    </row>
    <row r="250" spans="1:8" ht="52.5">
      <c r="A250" s="675" t="s">
        <v>1260</v>
      </c>
      <c r="B250" s="676" t="s">
        <v>1261</v>
      </c>
      <c r="C250" s="677"/>
      <c r="D250" s="678">
        <v>0</v>
      </c>
      <c r="E250" s="678">
        <v>139261</v>
      </c>
      <c r="F250" s="678">
        <v>557044.61</v>
      </c>
      <c r="G250" s="677" t="s">
        <v>1253</v>
      </c>
      <c r="H250" s="679" t="s">
        <v>1254</v>
      </c>
    </row>
    <row r="251" spans="1:8" ht="52.5">
      <c r="A251" s="675" t="s">
        <v>1262</v>
      </c>
      <c r="B251" s="676" t="s">
        <v>1263</v>
      </c>
      <c r="C251" s="677"/>
      <c r="D251" s="678">
        <v>0</v>
      </c>
      <c r="E251" s="678"/>
      <c r="F251" s="678">
        <v>263900.36</v>
      </c>
      <c r="G251" s="677" t="s">
        <v>1253</v>
      </c>
      <c r="H251" s="679" t="s">
        <v>1254</v>
      </c>
    </row>
    <row r="252" spans="1:8" ht="63">
      <c r="A252" s="675" t="s">
        <v>1264</v>
      </c>
      <c r="B252" s="676" t="s">
        <v>1265</v>
      </c>
      <c r="C252" s="677"/>
      <c r="D252" s="678">
        <v>0</v>
      </c>
      <c r="E252" s="678"/>
      <c r="F252" s="678">
        <v>0</v>
      </c>
      <c r="G252" s="677" t="s">
        <v>1257</v>
      </c>
      <c r="H252" s="679" t="s">
        <v>1254</v>
      </c>
    </row>
    <row r="253" spans="1:8" ht="52.5">
      <c r="A253" s="675" t="s">
        <v>1266</v>
      </c>
      <c r="B253" s="676" t="s">
        <v>1263</v>
      </c>
      <c r="C253" s="677"/>
      <c r="D253" s="678">
        <v>0</v>
      </c>
      <c r="E253" s="678"/>
      <c r="F253" s="678">
        <v>160230.31</v>
      </c>
      <c r="G253" s="677" t="s">
        <v>1253</v>
      </c>
      <c r="H253" s="679" t="s">
        <v>1254</v>
      </c>
    </row>
    <row r="254" spans="1:8" ht="42">
      <c r="A254" s="675" t="s">
        <v>1267</v>
      </c>
      <c r="B254" s="676"/>
      <c r="C254" s="676" t="s">
        <v>1268</v>
      </c>
      <c r="D254" s="678"/>
      <c r="E254" s="678"/>
      <c r="F254" s="678">
        <v>161836.06</v>
      </c>
      <c r="G254" s="677" t="s">
        <v>1253</v>
      </c>
      <c r="H254" s="679" t="s">
        <v>1254</v>
      </c>
    </row>
    <row r="255" spans="1:8" ht="53.25" thickBot="1">
      <c r="A255" s="680" t="s">
        <v>1269</v>
      </c>
      <c r="B255" s="681"/>
      <c r="C255" s="681" t="s">
        <v>1270</v>
      </c>
      <c r="D255" s="682"/>
      <c r="E255" s="682"/>
      <c r="F255" s="682">
        <v>34321</v>
      </c>
      <c r="G255" s="683" t="s">
        <v>1253</v>
      </c>
      <c r="H255" s="684" t="s">
        <v>1254</v>
      </c>
    </row>
    <row r="256" spans="1:8" ht="17.25" customHeight="1" thickBot="1">
      <c r="A256" s="416" t="s">
        <v>43</v>
      </c>
      <c r="B256" s="416"/>
      <c r="C256" s="416"/>
      <c r="D256" s="685">
        <v>325907</v>
      </c>
      <c r="E256" s="685">
        <v>139261</v>
      </c>
      <c r="F256" s="685">
        <v>1226786.1400000001</v>
      </c>
      <c r="G256" s="418"/>
      <c r="H256" s="418"/>
    </row>
    <row r="257" spans="1:8" ht="12.75">
      <c r="A257" s="592"/>
      <c r="B257" s="592"/>
      <c r="C257" s="592"/>
      <c r="D257" s="593"/>
      <c r="E257" s="593"/>
      <c r="F257" s="586"/>
      <c r="G257" s="586"/>
      <c r="H257" s="586"/>
    </row>
    <row r="258" spans="1:8" ht="12.75">
      <c r="A258" s="594" t="s">
        <v>58</v>
      </c>
      <c r="B258" s="594"/>
      <c r="C258" s="594"/>
      <c r="D258" s="593"/>
      <c r="E258" s="593"/>
      <c r="F258" s="586"/>
      <c r="G258" s="586"/>
      <c r="H258" s="586"/>
    </row>
    <row r="259" spans="1:8" ht="12.75">
      <c r="A259" s="595" t="s">
        <v>121</v>
      </c>
      <c r="B259" s="595"/>
      <c r="C259" s="595"/>
      <c r="D259" s="593"/>
      <c r="E259" s="593"/>
      <c r="F259" s="586"/>
      <c r="G259" s="586"/>
      <c r="H259" s="586"/>
    </row>
    <row r="263" spans="1:8" ht="13.5" thickBot="1">
      <c r="A263" s="608" t="s">
        <v>563</v>
      </c>
      <c r="B263" s="600"/>
      <c r="C263" s="600"/>
      <c r="D263" s="601"/>
      <c r="E263" s="601"/>
      <c r="F263" s="601"/>
      <c r="G263" s="598"/>
      <c r="H263" s="598"/>
    </row>
    <row r="264" spans="1:8" ht="12.75" thickBot="1">
      <c r="A264" s="1753" t="s">
        <v>42</v>
      </c>
      <c r="B264" s="1753" t="s">
        <v>337</v>
      </c>
      <c r="C264" s="1755" t="s">
        <v>338</v>
      </c>
      <c r="D264" s="602" t="s">
        <v>1248</v>
      </c>
      <c r="E264" s="609" t="s">
        <v>1271</v>
      </c>
      <c r="F264" s="603" t="s">
        <v>1250</v>
      </c>
      <c r="G264" s="1753" t="s">
        <v>57</v>
      </c>
      <c r="H264" s="1753" t="s">
        <v>120</v>
      </c>
    </row>
    <row r="265" spans="1:8" ht="12.75" thickBot="1">
      <c r="A265" s="1754"/>
      <c r="B265" s="1754"/>
      <c r="C265" s="1756"/>
      <c r="D265" s="610" t="s">
        <v>333</v>
      </c>
      <c r="E265" s="611" t="s">
        <v>333</v>
      </c>
      <c r="F265" s="611" t="s">
        <v>333</v>
      </c>
      <c r="G265" s="1757"/>
      <c r="H265" s="1757"/>
    </row>
    <row r="266" spans="1:8" ht="33.75">
      <c r="A266" s="686" t="s">
        <v>1272</v>
      </c>
      <c r="B266" s="687" t="s">
        <v>1273</v>
      </c>
      <c r="C266" s="688" t="s">
        <v>97</v>
      </c>
      <c r="D266" s="689">
        <v>33600</v>
      </c>
      <c r="E266" s="690"/>
      <c r="F266" s="690"/>
      <c r="G266" s="687" t="s">
        <v>1274</v>
      </c>
      <c r="H266" s="691" t="s">
        <v>926</v>
      </c>
    </row>
    <row r="267" spans="1:8" ht="33.75">
      <c r="A267" s="692" t="s">
        <v>1275</v>
      </c>
      <c r="B267" s="693" t="s">
        <v>1273</v>
      </c>
      <c r="C267" s="694" t="s">
        <v>97</v>
      </c>
      <c r="D267" s="695">
        <v>50000</v>
      </c>
      <c r="E267" s="696"/>
      <c r="F267" s="696"/>
      <c r="G267" s="697" t="s">
        <v>1276</v>
      </c>
      <c r="H267" s="698" t="s">
        <v>926</v>
      </c>
    </row>
    <row r="268" spans="1:8" ht="56.25">
      <c r="A268" s="692" t="s">
        <v>1277</v>
      </c>
      <c r="B268" s="693" t="s">
        <v>1278</v>
      </c>
      <c r="C268" s="694" t="s">
        <v>97</v>
      </c>
      <c r="D268" s="695">
        <v>20000</v>
      </c>
      <c r="E268" s="696"/>
      <c r="F268" s="696"/>
      <c r="G268" s="699" t="s">
        <v>1279</v>
      </c>
      <c r="H268" s="698" t="s">
        <v>926</v>
      </c>
    </row>
    <row r="269" spans="1:8" ht="22.5">
      <c r="A269" s="692" t="s">
        <v>1280</v>
      </c>
      <c r="B269" s="693" t="s">
        <v>1281</v>
      </c>
      <c r="C269" s="694" t="s">
        <v>97</v>
      </c>
      <c r="D269" s="695">
        <v>33000</v>
      </c>
      <c r="E269" s="696"/>
      <c r="F269" s="696"/>
      <c r="G269" s="699" t="s">
        <v>1282</v>
      </c>
      <c r="H269" s="698" t="s">
        <v>926</v>
      </c>
    </row>
    <row r="270" spans="1:8" ht="33.75">
      <c r="A270" s="692" t="s">
        <v>1283</v>
      </c>
      <c r="B270" s="693" t="s">
        <v>1284</v>
      </c>
      <c r="C270" s="694" t="s">
        <v>97</v>
      </c>
      <c r="D270" s="695">
        <v>25000</v>
      </c>
      <c r="E270" s="696"/>
      <c r="F270" s="696"/>
      <c r="G270" s="699" t="s">
        <v>1285</v>
      </c>
      <c r="H270" s="698" t="s">
        <v>926</v>
      </c>
    </row>
    <row r="271" spans="1:8" ht="34.5" thickBot="1">
      <c r="A271" s="700" t="s">
        <v>1286</v>
      </c>
      <c r="B271" s="701" t="s">
        <v>1287</v>
      </c>
      <c r="C271" s="702">
        <v>17825611</v>
      </c>
      <c r="D271" s="703">
        <v>14850</v>
      </c>
      <c r="E271" s="704"/>
      <c r="F271" s="704"/>
      <c r="G271" s="705" t="s">
        <v>1288</v>
      </c>
      <c r="H271" s="706" t="s">
        <v>926</v>
      </c>
    </row>
    <row r="272" spans="1:8" ht="24" customHeight="1" thickBot="1">
      <c r="A272" s="416" t="s">
        <v>43</v>
      </c>
      <c r="B272" s="416"/>
      <c r="C272" s="416"/>
      <c r="D272" s="707">
        <v>176450</v>
      </c>
      <c r="E272" s="708">
        <v>0</v>
      </c>
      <c r="F272" s="708">
        <v>0</v>
      </c>
      <c r="G272" s="418"/>
      <c r="H272" s="418"/>
    </row>
    <row r="273" spans="1:8" ht="12.75">
      <c r="A273" s="604"/>
      <c r="B273" s="604"/>
      <c r="C273" s="604"/>
      <c r="D273" s="605"/>
      <c r="E273" s="605"/>
      <c r="F273" s="605"/>
      <c r="G273" s="598"/>
      <c r="H273" s="598"/>
    </row>
    <row r="274" spans="1:8" ht="12.75">
      <c r="A274" s="606" t="s">
        <v>58</v>
      </c>
      <c r="B274" s="606"/>
      <c r="C274" s="606"/>
      <c r="D274" s="605"/>
      <c r="E274" s="605"/>
      <c r="F274" s="605"/>
      <c r="G274" s="598"/>
      <c r="H274" s="598"/>
    </row>
    <row r="275" spans="1:8" ht="12.75">
      <c r="A275" s="607" t="s">
        <v>121</v>
      </c>
      <c r="B275" s="607"/>
      <c r="C275" s="607"/>
      <c r="D275" s="605"/>
      <c r="E275" s="605"/>
      <c r="F275" s="605"/>
      <c r="G275" s="598"/>
      <c r="H275" s="598"/>
    </row>
  </sheetData>
  <mergeCells count="45">
    <mergeCell ref="B4:B5"/>
    <mergeCell ref="H4:H5"/>
    <mergeCell ref="A4:A5"/>
    <mergeCell ref="G4:G5"/>
    <mergeCell ref="C4:C5"/>
    <mergeCell ref="A41:A42"/>
    <mergeCell ref="B41:B42"/>
    <mergeCell ref="C41:C42"/>
    <mergeCell ref="G41:G42"/>
    <mergeCell ref="H41:H42"/>
    <mergeCell ref="A146:A147"/>
    <mergeCell ref="B146:B147"/>
    <mergeCell ref="C146:C147"/>
    <mergeCell ref="G146:G147"/>
    <mergeCell ref="H146:H147"/>
    <mergeCell ref="A182:A183"/>
    <mergeCell ref="B182:B183"/>
    <mergeCell ref="C182:C183"/>
    <mergeCell ref="G182:G183"/>
    <mergeCell ref="H182:H183"/>
    <mergeCell ref="A245:A246"/>
    <mergeCell ref="B245:B246"/>
    <mergeCell ref="C245:C246"/>
    <mergeCell ref="G245:G246"/>
    <mergeCell ref="H245:H246"/>
    <mergeCell ref="A264:A265"/>
    <mergeCell ref="B264:B265"/>
    <mergeCell ref="C264:C265"/>
    <mergeCell ref="G264:G265"/>
    <mergeCell ref="H264:H265"/>
    <mergeCell ref="A211:A212"/>
    <mergeCell ref="B211:B212"/>
    <mergeCell ref="C211:C212"/>
    <mergeCell ref="G211:G212"/>
    <mergeCell ref="H211:H212"/>
    <mergeCell ref="A74:A75"/>
    <mergeCell ref="B74:B75"/>
    <mergeCell ref="C74:C75"/>
    <mergeCell ref="G74:G75"/>
    <mergeCell ref="H74:H75"/>
    <mergeCell ref="A112:A113"/>
    <mergeCell ref="B112:B113"/>
    <mergeCell ref="C112:C113"/>
    <mergeCell ref="G112:G113"/>
    <mergeCell ref="H112:H113"/>
  </mergeCells>
  <phoneticPr fontId="0" type="noConversion"/>
  <printOptions horizontalCentered="1"/>
  <pageMargins left="0.23622047244094491" right="0.31496062992125984" top="0.74803149606299213" bottom="0.74803149606299213" header="0.31496062992125984" footer="0.31496062992125984"/>
  <pageSetup paperSize="9" scale="58" orientation="landscape" r:id="rId1"/>
  <headerFooter alignWithMargins="0">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rowBreaks count="5" manualBreakCount="5">
    <brk id="109" max="7" man="1"/>
    <brk id="179" max="7" man="1"/>
    <brk id="208" max="7" man="1"/>
    <brk id="261" max="7" man="1"/>
    <brk id="284" max="7" man="1"/>
  </rowBreaks>
  <ignoredErrors>
    <ignoredError sqref="B46:B48 B7:B37 B40 B78:B87 C79:C87"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249977111117893"/>
  </sheetPr>
  <dimension ref="A1:V148"/>
  <sheetViews>
    <sheetView showGridLines="0" view="pageBreakPreview" topLeftCell="A91" zoomScaleNormal="90" zoomScaleSheetLayoutView="100" zoomScalePageLayoutView="85" workbookViewId="0">
      <selection activeCell="A2" sqref="A2"/>
    </sheetView>
  </sheetViews>
  <sheetFormatPr baseColWidth="10" defaultColWidth="11.42578125" defaultRowHeight="12"/>
  <cols>
    <col min="1" max="1" width="59.7109375" style="140" customWidth="1"/>
    <col min="2" max="2" width="23" style="140" customWidth="1"/>
    <col min="3" max="3" width="26.42578125" style="140" customWidth="1"/>
    <col min="4" max="4" width="21.28515625" style="140" customWidth="1"/>
    <col min="5" max="8" width="15.7109375" style="140" customWidth="1"/>
    <col min="9" max="16384" width="11.42578125" style="140"/>
  </cols>
  <sheetData>
    <row r="1" spans="1:22" s="155" customFormat="1" ht="15.75">
      <c r="A1" s="157" t="s">
        <v>411</v>
      </c>
      <c r="B1" s="156"/>
      <c r="C1" s="156"/>
      <c r="D1" s="156"/>
      <c r="E1" s="156"/>
      <c r="F1" s="156"/>
      <c r="G1" s="156"/>
      <c r="H1" s="156"/>
    </row>
    <row r="2" spans="1:22" s="154" customFormat="1" ht="15.75">
      <c r="A2" s="25" t="s">
        <v>438</v>
      </c>
      <c r="B2" s="28"/>
      <c r="C2" s="28"/>
      <c r="D2" s="28"/>
      <c r="E2" s="28"/>
      <c r="F2" s="28"/>
      <c r="G2" s="28"/>
      <c r="H2" s="28"/>
      <c r="I2" s="28"/>
      <c r="J2" s="28"/>
      <c r="K2" s="28"/>
      <c r="L2" s="28"/>
      <c r="M2" s="28"/>
      <c r="N2" s="28"/>
      <c r="O2" s="28"/>
      <c r="P2" s="28"/>
      <c r="Q2" s="28"/>
      <c r="R2" s="28"/>
      <c r="S2" s="28"/>
      <c r="T2" s="28"/>
      <c r="U2" s="28"/>
      <c r="V2" s="28"/>
    </row>
    <row r="3" spans="1:22" ht="18" customHeight="1" thickBot="1">
      <c r="A3" s="280" t="s">
        <v>519</v>
      </c>
    </row>
    <row r="4" spans="1:22" ht="12.75" thickBot="1">
      <c r="A4" s="1760" t="s">
        <v>345</v>
      </c>
      <c r="B4" s="1760" t="s">
        <v>99</v>
      </c>
      <c r="C4" s="1762" t="s">
        <v>344</v>
      </c>
      <c r="D4" s="1763"/>
      <c r="E4" s="1763"/>
      <c r="F4" s="1763"/>
      <c r="G4" s="1763"/>
      <c r="H4" s="1765"/>
    </row>
    <row r="5" spans="1:22" s="151" customFormat="1" ht="27" customHeight="1" thickBot="1">
      <c r="A5" s="1766"/>
      <c r="B5" s="1766"/>
      <c r="C5" s="153" t="s">
        <v>343</v>
      </c>
      <c r="D5" s="164" t="s">
        <v>342</v>
      </c>
      <c r="E5" s="153" t="s">
        <v>341</v>
      </c>
      <c r="F5" s="152" t="s">
        <v>340</v>
      </c>
      <c r="G5" s="152" t="s">
        <v>346</v>
      </c>
      <c r="H5" s="152" t="s">
        <v>347</v>
      </c>
    </row>
    <row r="6" spans="1:22">
      <c r="A6" s="150"/>
      <c r="B6" s="149"/>
      <c r="C6" s="143"/>
      <c r="D6" s="145"/>
      <c r="E6" s="144"/>
      <c r="F6" s="143"/>
      <c r="G6" s="143"/>
      <c r="H6" s="143"/>
    </row>
    <row r="7" spans="1:22">
      <c r="A7" s="142" t="s">
        <v>44</v>
      </c>
      <c r="B7" s="141"/>
      <c r="C7" s="143"/>
      <c r="D7" s="145"/>
      <c r="E7" s="144"/>
      <c r="F7" s="143"/>
      <c r="G7" s="143"/>
      <c r="H7" s="143"/>
    </row>
    <row r="8" spans="1:22">
      <c r="A8" s="142"/>
      <c r="B8" s="141"/>
      <c r="C8" s="143"/>
      <c r="D8" s="145"/>
      <c r="E8" s="144"/>
      <c r="F8" s="143"/>
      <c r="G8" s="143"/>
      <c r="H8" s="143"/>
    </row>
    <row r="9" spans="1:22">
      <c r="A9" s="142" t="s">
        <v>457</v>
      </c>
      <c r="B9" s="141"/>
      <c r="C9" s="143"/>
      <c r="D9" s="145"/>
      <c r="E9" s="144"/>
      <c r="F9" s="143"/>
      <c r="G9" s="143"/>
      <c r="H9" s="143"/>
    </row>
    <row r="10" spans="1:22" s="276" customFormat="1" ht="14.1" customHeight="1">
      <c r="A10" s="281" t="s">
        <v>458</v>
      </c>
      <c r="B10" s="282" t="s">
        <v>459</v>
      </c>
      <c r="C10" s="283" t="s">
        <v>467</v>
      </c>
      <c r="D10" s="284"/>
      <c r="E10" s="285"/>
      <c r="F10" s="283" t="s">
        <v>468</v>
      </c>
      <c r="G10" s="296">
        <v>474623851.8500002</v>
      </c>
      <c r="H10" s="296">
        <v>347316291.08000016</v>
      </c>
    </row>
    <row r="11" spans="1:22" s="276" customFormat="1" ht="14.1" customHeight="1">
      <c r="A11" s="286" t="s">
        <v>460</v>
      </c>
      <c r="B11" s="287" t="s">
        <v>459</v>
      </c>
      <c r="C11" s="288" t="s">
        <v>469</v>
      </c>
      <c r="D11" s="289" t="s">
        <v>470</v>
      </c>
      <c r="E11" s="290" t="s">
        <v>471</v>
      </c>
      <c r="F11" s="288" t="s">
        <v>468</v>
      </c>
      <c r="G11" s="297">
        <v>2020368.4165740125</v>
      </c>
      <c r="H11" s="297">
        <v>5168731.8665740043</v>
      </c>
    </row>
    <row r="12" spans="1:22" s="276" customFormat="1" ht="14.1" customHeight="1">
      <c r="A12" s="286" t="s">
        <v>461</v>
      </c>
      <c r="B12" s="287" t="s">
        <v>459</v>
      </c>
      <c r="C12" s="288" t="s">
        <v>469</v>
      </c>
      <c r="D12" s="289" t="s">
        <v>472</v>
      </c>
      <c r="E12" s="290" t="s">
        <v>471</v>
      </c>
      <c r="F12" s="288" t="s">
        <v>468</v>
      </c>
      <c r="G12" s="297">
        <v>1339032.5099999998</v>
      </c>
      <c r="H12" s="297">
        <v>1551717.6999999993</v>
      </c>
    </row>
    <row r="13" spans="1:22" s="276" customFormat="1" ht="14.1" customHeight="1">
      <c r="A13" s="286" t="s">
        <v>462</v>
      </c>
      <c r="B13" s="287" t="s">
        <v>459</v>
      </c>
      <c r="C13" s="288" t="s">
        <v>469</v>
      </c>
      <c r="D13" s="289" t="s">
        <v>473</v>
      </c>
      <c r="E13" s="290" t="s">
        <v>471</v>
      </c>
      <c r="F13" s="288" t="s">
        <v>468</v>
      </c>
      <c r="G13" s="297">
        <v>3449096.1199999996</v>
      </c>
      <c r="H13" s="297">
        <v>127927.0499999992</v>
      </c>
    </row>
    <row r="14" spans="1:22" s="276" customFormat="1" ht="14.1" customHeight="1">
      <c r="A14" s="286" t="s">
        <v>463</v>
      </c>
      <c r="B14" s="287" t="s">
        <v>459</v>
      </c>
      <c r="C14" s="288" t="s">
        <v>469</v>
      </c>
      <c r="D14" s="289" t="s">
        <v>474</v>
      </c>
      <c r="E14" s="290" t="s">
        <v>471</v>
      </c>
      <c r="F14" s="288" t="s">
        <v>468</v>
      </c>
      <c r="G14" s="297">
        <v>4027471.580000001</v>
      </c>
      <c r="H14" s="297">
        <v>281150.13000000152</v>
      </c>
    </row>
    <row r="15" spans="1:22" s="276" customFormat="1" ht="14.1" customHeight="1">
      <c r="A15" s="286" t="s">
        <v>464</v>
      </c>
      <c r="B15" s="287" t="s">
        <v>459</v>
      </c>
      <c r="C15" s="288" t="s">
        <v>469</v>
      </c>
      <c r="D15" s="289" t="s">
        <v>475</v>
      </c>
      <c r="E15" s="290" t="s">
        <v>471</v>
      </c>
      <c r="F15" s="288" t="s">
        <v>476</v>
      </c>
      <c r="G15" s="297">
        <v>619629.82999999996</v>
      </c>
      <c r="H15" s="297">
        <v>349737.28</v>
      </c>
    </row>
    <row r="16" spans="1:22" s="276" customFormat="1" ht="14.1" customHeight="1">
      <c r="A16" s="286" t="s">
        <v>465</v>
      </c>
      <c r="B16" s="287" t="s">
        <v>459</v>
      </c>
      <c r="C16" s="288" t="s">
        <v>469</v>
      </c>
      <c r="D16" s="289" t="s">
        <v>477</v>
      </c>
      <c r="E16" s="290" t="s">
        <v>478</v>
      </c>
      <c r="F16" s="288" t="s">
        <v>468</v>
      </c>
      <c r="G16" s="297">
        <v>318766.9999999851</v>
      </c>
      <c r="H16" s="297">
        <v>539562.14999999851</v>
      </c>
    </row>
    <row r="17" spans="1:8" s="276" customFormat="1" ht="14.1" customHeight="1">
      <c r="A17" s="286" t="s">
        <v>466</v>
      </c>
      <c r="B17" s="287" t="s">
        <v>459</v>
      </c>
      <c r="C17" s="288" t="s">
        <v>469</v>
      </c>
      <c r="D17" s="289" t="s">
        <v>479</v>
      </c>
      <c r="E17" s="290" t="s">
        <v>480</v>
      </c>
      <c r="F17" s="288" t="s">
        <v>468</v>
      </c>
      <c r="G17" s="297">
        <v>7205347.7000000114</v>
      </c>
      <c r="H17" s="297">
        <v>13661637.340000009</v>
      </c>
    </row>
    <row r="18" spans="1:8">
      <c r="A18" s="142"/>
      <c r="B18" s="141"/>
      <c r="C18" s="143"/>
      <c r="D18" s="145"/>
      <c r="E18" s="144"/>
      <c r="F18" s="143"/>
      <c r="G18" s="298"/>
      <c r="H18" s="298"/>
    </row>
    <row r="19" spans="1:8">
      <c r="A19" s="142" t="s">
        <v>518</v>
      </c>
      <c r="B19" s="141"/>
      <c r="C19" s="143"/>
      <c r="D19" s="145"/>
      <c r="E19" s="144"/>
      <c r="F19" s="143"/>
      <c r="G19" s="298"/>
      <c r="H19" s="298"/>
    </row>
    <row r="20" spans="1:8">
      <c r="A20" s="142"/>
      <c r="B20" s="141"/>
      <c r="C20" s="143"/>
      <c r="D20" s="145"/>
      <c r="E20" s="144"/>
      <c r="F20" s="143"/>
      <c r="G20" s="298"/>
      <c r="H20" s="298"/>
    </row>
    <row r="21" spans="1:8">
      <c r="A21" s="142" t="s">
        <v>47</v>
      </c>
      <c r="B21" s="141"/>
      <c r="C21" s="146"/>
      <c r="D21" s="148"/>
      <c r="E21" s="147"/>
      <c r="F21" s="146"/>
      <c r="G21" s="298"/>
      <c r="H21" s="298"/>
    </row>
    <row r="22" spans="1:8" s="276" customFormat="1" ht="14.1" customHeight="1">
      <c r="A22" s="281" t="s">
        <v>481</v>
      </c>
      <c r="B22" s="282" t="s">
        <v>459</v>
      </c>
      <c r="C22" s="283" t="s">
        <v>482</v>
      </c>
      <c r="D22" s="284"/>
      <c r="E22" s="285"/>
      <c r="F22" s="283" t="s">
        <v>483</v>
      </c>
      <c r="G22" s="296">
        <v>14198568.579999998</v>
      </c>
      <c r="H22" s="296">
        <v>14198568.579999998</v>
      </c>
    </row>
    <row r="23" spans="1:8" s="276" customFormat="1" ht="14.1" customHeight="1">
      <c r="A23" s="286" t="s">
        <v>484</v>
      </c>
      <c r="B23" s="287" t="s">
        <v>459</v>
      </c>
      <c r="C23" s="288" t="s">
        <v>469</v>
      </c>
      <c r="D23" s="289" t="s">
        <v>485</v>
      </c>
      <c r="E23" s="290" t="s">
        <v>486</v>
      </c>
      <c r="F23" s="288" t="s">
        <v>468</v>
      </c>
      <c r="G23" s="297">
        <v>380601.39000000013</v>
      </c>
      <c r="H23" s="297">
        <v>0</v>
      </c>
    </row>
    <row r="24" spans="1:8" s="276" customFormat="1" ht="14.1" customHeight="1">
      <c r="A24" s="286" t="s">
        <v>484</v>
      </c>
      <c r="B24" s="287" t="s">
        <v>459</v>
      </c>
      <c r="C24" s="288" t="s">
        <v>469</v>
      </c>
      <c r="D24" s="289" t="s">
        <v>487</v>
      </c>
      <c r="E24" s="290" t="s">
        <v>488</v>
      </c>
      <c r="F24" s="288" t="s">
        <v>476</v>
      </c>
      <c r="G24" s="297">
        <v>0</v>
      </c>
      <c r="H24" s="297">
        <v>0</v>
      </c>
    </row>
    <row r="25" spans="1:8" s="276" customFormat="1" ht="14.1" customHeight="1">
      <c r="A25" s="286" t="s">
        <v>489</v>
      </c>
      <c r="B25" s="287" t="s">
        <v>459</v>
      </c>
      <c r="C25" s="288" t="s">
        <v>469</v>
      </c>
      <c r="D25" s="289" t="s">
        <v>490</v>
      </c>
      <c r="E25" s="290" t="s">
        <v>488</v>
      </c>
      <c r="F25" s="288" t="s">
        <v>468</v>
      </c>
      <c r="G25" s="297">
        <v>44468.090000000782</v>
      </c>
      <c r="H25" s="297">
        <v>44468.090000000782</v>
      </c>
    </row>
    <row r="26" spans="1:8">
      <c r="A26" s="142"/>
      <c r="B26" s="141"/>
      <c r="C26" s="146"/>
      <c r="D26" s="148"/>
      <c r="E26" s="147"/>
      <c r="F26" s="146"/>
      <c r="G26" s="298"/>
      <c r="H26" s="298"/>
    </row>
    <row r="27" spans="1:8">
      <c r="A27" s="142" t="s">
        <v>48</v>
      </c>
      <c r="B27" s="141"/>
      <c r="C27" s="143"/>
      <c r="D27" s="145"/>
      <c r="E27" s="144"/>
      <c r="F27" s="143"/>
      <c r="G27" s="298"/>
      <c r="H27" s="298"/>
    </row>
    <row r="28" spans="1:8">
      <c r="A28" s="142"/>
      <c r="B28" s="141"/>
      <c r="C28" s="143"/>
      <c r="D28" s="145"/>
      <c r="E28" s="144"/>
      <c r="F28" s="143"/>
      <c r="G28" s="298"/>
      <c r="H28" s="298"/>
    </row>
    <row r="29" spans="1:8" s="276" customFormat="1" ht="14.1" customHeight="1">
      <c r="A29" s="281" t="s">
        <v>491</v>
      </c>
      <c r="B29" s="282" t="s">
        <v>459</v>
      </c>
      <c r="C29" s="283" t="s">
        <v>515</v>
      </c>
      <c r="D29" s="284"/>
      <c r="E29" s="285"/>
      <c r="F29" s="283" t="s">
        <v>483</v>
      </c>
      <c r="G29" s="296">
        <v>3477066.2000000477</v>
      </c>
      <c r="H29" s="296">
        <v>3625780.3300000476</v>
      </c>
    </row>
    <row r="30" spans="1:8" s="276" customFormat="1">
      <c r="A30" s="291" t="s">
        <v>339</v>
      </c>
      <c r="B30" s="292"/>
      <c r="C30" s="293"/>
      <c r="D30" s="294"/>
      <c r="E30" s="295"/>
      <c r="F30" s="293"/>
      <c r="G30" s="299"/>
      <c r="H30" s="299"/>
    </row>
    <row r="31" spans="1:8" s="276" customFormat="1" ht="14.1" customHeight="1">
      <c r="A31" s="281" t="s">
        <v>492</v>
      </c>
      <c r="B31" s="282" t="s">
        <v>459</v>
      </c>
      <c r="C31" s="283" t="s">
        <v>469</v>
      </c>
      <c r="D31" s="284" t="s">
        <v>493</v>
      </c>
      <c r="E31" s="285" t="s">
        <v>494</v>
      </c>
      <c r="F31" s="283" t="s">
        <v>468</v>
      </c>
      <c r="G31" s="296">
        <v>317711.89999999991</v>
      </c>
      <c r="H31" s="296">
        <v>247005.39999999991</v>
      </c>
    </row>
    <row r="32" spans="1:8" s="276" customFormat="1" ht="14.1" customHeight="1">
      <c r="A32" s="286" t="s">
        <v>495</v>
      </c>
      <c r="B32" s="287" t="s">
        <v>459</v>
      </c>
      <c r="C32" s="288" t="s">
        <v>469</v>
      </c>
      <c r="D32" s="289" t="s">
        <v>496</v>
      </c>
      <c r="E32" s="290" t="s">
        <v>497</v>
      </c>
      <c r="F32" s="288" t="s">
        <v>476</v>
      </c>
      <c r="G32" s="297">
        <v>14526332.779999999</v>
      </c>
      <c r="H32" s="297">
        <v>14541013.23</v>
      </c>
    </row>
    <row r="33" spans="1:8" s="276" customFormat="1" ht="14.1" customHeight="1">
      <c r="A33" s="286" t="s">
        <v>498</v>
      </c>
      <c r="B33" s="287" t="s">
        <v>459</v>
      </c>
      <c r="C33" s="288" t="s">
        <v>469</v>
      </c>
      <c r="D33" s="289" t="s">
        <v>499</v>
      </c>
      <c r="E33" s="290" t="s">
        <v>500</v>
      </c>
      <c r="F33" s="288" t="s">
        <v>476</v>
      </c>
      <c r="G33" s="297">
        <v>50792231.539999999</v>
      </c>
      <c r="H33" s="297">
        <v>50792231.539999999</v>
      </c>
    </row>
    <row r="34" spans="1:8" s="276" customFormat="1" ht="14.1" customHeight="1">
      <c r="A34" s="286" t="s">
        <v>501</v>
      </c>
      <c r="B34" s="287" t="s">
        <v>502</v>
      </c>
      <c r="C34" s="288" t="s">
        <v>503</v>
      </c>
      <c r="D34" s="289" t="s">
        <v>504</v>
      </c>
      <c r="E34" s="290" t="s">
        <v>505</v>
      </c>
      <c r="F34" s="288" t="s">
        <v>468</v>
      </c>
      <c r="G34" s="297">
        <v>725.54000000003725</v>
      </c>
      <c r="H34" s="297">
        <v>455.53999999980442</v>
      </c>
    </row>
    <row r="35" spans="1:8" s="276" customFormat="1" ht="14.1" customHeight="1">
      <c r="A35" s="286" t="s">
        <v>501</v>
      </c>
      <c r="B35" s="287" t="s">
        <v>502</v>
      </c>
      <c r="C35" s="288" t="s">
        <v>506</v>
      </c>
      <c r="D35" s="289" t="s">
        <v>507</v>
      </c>
      <c r="E35" s="290" t="s">
        <v>508</v>
      </c>
      <c r="F35" s="288" t="s">
        <v>468</v>
      </c>
      <c r="G35" s="297">
        <v>767.93999999947846</v>
      </c>
      <c r="H35" s="297">
        <v>542.93999999971129</v>
      </c>
    </row>
    <row r="36" spans="1:8" s="276" customFormat="1" ht="14.1" customHeight="1">
      <c r="A36" s="286" t="s">
        <v>501</v>
      </c>
      <c r="B36" s="287" t="s">
        <v>502</v>
      </c>
      <c r="C36" s="288" t="s">
        <v>509</v>
      </c>
      <c r="D36" s="289" t="s">
        <v>510</v>
      </c>
      <c r="E36" s="290" t="s">
        <v>511</v>
      </c>
      <c r="F36" s="288" t="s">
        <v>468</v>
      </c>
      <c r="G36" s="297">
        <v>575.47999999986496</v>
      </c>
      <c r="H36" s="297">
        <v>312.57999999984168</v>
      </c>
    </row>
    <row r="37" spans="1:8" s="276" customFormat="1" ht="14.1" customHeight="1">
      <c r="A37" s="286" t="s">
        <v>512</v>
      </c>
      <c r="B37" s="287" t="s">
        <v>502</v>
      </c>
      <c r="C37" s="288" t="s">
        <v>506</v>
      </c>
      <c r="D37" s="289" t="s">
        <v>513</v>
      </c>
      <c r="E37" s="290" t="s">
        <v>514</v>
      </c>
      <c r="F37" s="288" t="s">
        <v>468</v>
      </c>
      <c r="G37" s="297">
        <v>458.73999999999069</v>
      </c>
      <c r="H37" s="297">
        <v>411.43999999999028</v>
      </c>
    </row>
    <row r="38" spans="1:8" ht="12.75" thickBot="1">
      <c r="A38" s="142"/>
      <c r="B38" s="141"/>
      <c r="C38" s="143"/>
      <c r="D38" s="145"/>
      <c r="E38" s="144"/>
      <c r="F38" s="143"/>
      <c r="G38" s="298"/>
      <c r="H38" s="298"/>
    </row>
    <row r="39" spans="1:8" s="276" customFormat="1" ht="20.100000000000001" customHeight="1" thickBot="1">
      <c r="A39" s="272" t="s">
        <v>516</v>
      </c>
      <c r="B39" s="273"/>
      <c r="C39" s="274"/>
      <c r="D39" s="274"/>
      <c r="E39" s="274"/>
      <c r="F39" s="275"/>
      <c r="G39" s="300">
        <f>+G10+G11+G12+G13+G14+G16+G17+G22+G23+G25+G29+G31+G34+G35+G36+G37</f>
        <v>511404879.03657418</v>
      </c>
      <c r="H39" s="301">
        <f>+H10+H11+H12+H13+H14+H16+H17+H22+H23+H25+H29+H31+H34+H35+H36+H37</f>
        <v>386764562.21657413</v>
      </c>
    </row>
    <row r="40" spans="1:8" s="276" customFormat="1" ht="20.100000000000001" customHeight="1" thickBot="1">
      <c r="A40" s="277" t="s">
        <v>517</v>
      </c>
      <c r="B40" s="278"/>
      <c r="C40" s="273"/>
      <c r="D40" s="273"/>
      <c r="E40" s="273"/>
      <c r="F40" s="279"/>
      <c r="G40" s="302">
        <f>+G15+G24+G32+G33</f>
        <v>65938194.149999999</v>
      </c>
      <c r="H40" s="303">
        <f>+H15+H24+H32+H33</f>
        <v>65682982.049999997</v>
      </c>
    </row>
    <row r="41" spans="1:8">
      <c r="A41" s="140" t="s">
        <v>412</v>
      </c>
    </row>
    <row r="42" spans="1:8">
      <c r="A42" s="140" t="s">
        <v>413</v>
      </c>
    </row>
    <row r="44" spans="1:8" ht="20.25" customHeight="1" thickBot="1">
      <c r="A44" s="280" t="s">
        <v>519</v>
      </c>
    </row>
    <row r="45" spans="1:8" ht="12.75" thickBot="1">
      <c r="A45" s="1760" t="s">
        <v>345</v>
      </c>
      <c r="B45" s="1760" t="s">
        <v>99</v>
      </c>
      <c r="C45" s="1762" t="s">
        <v>344</v>
      </c>
      <c r="D45" s="1763"/>
      <c r="E45" s="1763"/>
      <c r="F45" s="1763"/>
      <c r="G45" s="1763"/>
      <c r="H45" s="1763"/>
    </row>
    <row r="46" spans="1:8" ht="26.25" customHeight="1" thickBot="1">
      <c r="A46" s="1761"/>
      <c r="B46" s="1761"/>
      <c r="C46" s="153" t="s">
        <v>343</v>
      </c>
      <c r="D46" s="187" t="s">
        <v>342</v>
      </c>
      <c r="E46" s="153" t="s">
        <v>341</v>
      </c>
      <c r="F46" s="271" t="s">
        <v>340</v>
      </c>
      <c r="G46" s="271" t="s">
        <v>520</v>
      </c>
      <c r="H46" s="271" t="s">
        <v>521</v>
      </c>
    </row>
    <row r="47" spans="1:8">
      <c r="A47" s="150"/>
      <c r="B47" s="149"/>
      <c r="C47" s="143"/>
      <c r="D47" s="145"/>
      <c r="E47" s="144"/>
      <c r="F47" s="143"/>
      <c r="G47" s="143"/>
      <c r="H47" s="143"/>
    </row>
    <row r="48" spans="1:8" s="276" customFormat="1" ht="14.1" customHeight="1">
      <c r="A48" s="291" t="s">
        <v>44</v>
      </c>
      <c r="B48" s="321" t="s">
        <v>522</v>
      </c>
      <c r="C48" s="322" t="s">
        <v>523</v>
      </c>
      <c r="D48" s="323" t="s">
        <v>524</v>
      </c>
      <c r="E48" s="324" t="s">
        <v>525</v>
      </c>
      <c r="F48" s="322" t="s">
        <v>40</v>
      </c>
      <c r="G48" s="325">
        <v>0</v>
      </c>
      <c r="H48" s="325">
        <v>0</v>
      </c>
    </row>
    <row r="49" spans="1:8">
      <c r="A49" s="142"/>
      <c r="B49" s="141"/>
      <c r="C49" s="143"/>
      <c r="D49" s="145"/>
      <c r="E49" s="309"/>
      <c r="F49" s="143"/>
      <c r="G49" s="298"/>
      <c r="H49" s="298"/>
    </row>
    <row r="50" spans="1:8" s="276" customFormat="1" ht="14.1" customHeight="1">
      <c r="A50" s="291" t="s">
        <v>457</v>
      </c>
      <c r="B50" s="292"/>
      <c r="C50" s="293"/>
      <c r="D50" s="294"/>
      <c r="E50" s="326"/>
      <c r="F50" s="293"/>
      <c r="G50" s="299"/>
      <c r="H50" s="299"/>
    </row>
    <row r="51" spans="1:8" s="276" customFormat="1" ht="14.1" customHeight="1">
      <c r="A51" s="281"/>
      <c r="B51" s="327" t="s">
        <v>522</v>
      </c>
      <c r="C51" s="328" t="s">
        <v>526</v>
      </c>
      <c r="D51" s="329" t="s">
        <v>524</v>
      </c>
      <c r="E51" s="330" t="s">
        <v>527</v>
      </c>
      <c r="F51" s="328" t="s">
        <v>40</v>
      </c>
      <c r="G51" s="296">
        <v>807788817.29999995</v>
      </c>
      <c r="H51" s="296">
        <v>887690764.98000002</v>
      </c>
    </row>
    <row r="52" spans="1:8" s="276" customFormat="1" ht="14.1" customHeight="1">
      <c r="A52" s="286"/>
      <c r="B52" s="331" t="s">
        <v>522</v>
      </c>
      <c r="C52" s="332" t="s">
        <v>523</v>
      </c>
      <c r="D52" s="333" t="s">
        <v>528</v>
      </c>
      <c r="E52" s="334" t="s">
        <v>525</v>
      </c>
      <c r="F52" s="332" t="s">
        <v>40</v>
      </c>
      <c r="G52" s="297">
        <v>1246191.8799999999</v>
      </c>
      <c r="H52" s="297">
        <v>1201319.24</v>
      </c>
    </row>
    <row r="53" spans="1:8" s="276" customFormat="1" ht="14.1" customHeight="1">
      <c r="A53" s="286"/>
      <c r="B53" s="331" t="s">
        <v>522</v>
      </c>
      <c r="C53" s="332" t="s">
        <v>523</v>
      </c>
      <c r="D53" s="333" t="s">
        <v>529</v>
      </c>
      <c r="E53" s="334" t="s">
        <v>525</v>
      </c>
      <c r="F53" s="332" t="s">
        <v>40</v>
      </c>
      <c r="G53" s="335">
        <v>0</v>
      </c>
      <c r="H53" s="335">
        <v>0</v>
      </c>
    </row>
    <row r="54" spans="1:8" s="276" customFormat="1" ht="14.1" customHeight="1">
      <c r="A54" s="286"/>
      <c r="B54" s="331" t="s">
        <v>522</v>
      </c>
      <c r="C54" s="332" t="s">
        <v>523</v>
      </c>
      <c r="D54" s="333" t="s">
        <v>530</v>
      </c>
      <c r="E54" s="334" t="s">
        <v>531</v>
      </c>
      <c r="F54" s="332" t="s">
        <v>40</v>
      </c>
      <c r="G54" s="297">
        <v>17674399.550000001</v>
      </c>
      <c r="H54" s="297">
        <v>12458554.949999999</v>
      </c>
    </row>
    <row r="55" spans="1:8">
      <c r="A55" s="142"/>
      <c r="B55" s="141"/>
      <c r="C55" s="143"/>
      <c r="D55" s="145"/>
      <c r="E55" s="309"/>
      <c r="F55" s="143"/>
      <c r="G55" s="298"/>
      <c r="H55" s="298"/>
    </row>
    <row r="56" spans="1:8" s="276" customFormat="1" ht="14.1" customHeight="1">
      <c r="A56" s="291" t="s">
        <v>518</v>
      </c>
      <c r="B56" s="292"/>
      <c r="C56" s="293"/>
      <c r="D56" s="294"/>
      <c r="E56" s="326"/>
      <c r="F56" s="293"/>
      <c r="G56" s="299"/>
      <c r="H56" s="299"/>
    </row>
    <row r="57" spans="1:8">
      <c r="A57" s="142"/>
      <c r="B57" s="141"/>
      <c r="C57" s="143"/>
      <c r="D57" s="145"/>
      <c r="E57" s="309"/>
      <c r="F57" s="143"/>
      <c r="G57" s="298"/>
      <c r="H57" s="298"/>
    </row>
    <row r="58" spans="1:8" s="276" customFormat="1" ht="14.1" customHeight="1">
      <c r="A58" s="291" t="s">
        <v>47</v>
      </c>
      <c r="B58" s="292"/>
      <c r="C58" s="293"/>
      <c r="D58" s="294"/>
      <c r="E58" s="326"/>
      <c r="F58" s="293"/>
      <c r="G58" s="299"/>
      <c r="H58" s="299"/>
    </row>
    <row r="59" spans="1:8" s="276" customFormat="1" ht="14.1" customHeight="1">
      <c r="A59" s="281"/>
      <c r="B59" s="327" t="s">
        <v>522</v>
      </c>
      <c r="C59" s="328" t="s">
        <v>523</v>
      </c>
      <c r="D59" s="329" t="s">
        <v>532</v>
      </c>
      <c r="E59" s="330" t="s">
        <v>531</v>
      </c>
      <c r="F59" s="328" t="s">
        <v>40</v>
      </c>
      <c r="G59" s="296">
        <v>27950802.16</v>
      </c>
      <c r="H59" s="296">
        <v>27950802.16</v>
      </c>
    </row>
    <row r="60" spans="1:8" s="276" customFormat="1" ht="14.1" customHeight="1">
      <c r="A60" s="286"/>
      <c r="B60" s="331" t="s">
        <v>522</v>
      </c>
      <c r="C60" s="332" t="s">
        <v>523</v>
      </c>
      <c r="D60" s="333" t="s">
        <v>533</v>
      </c>
      <c r="E60" s="334" t="s">
        <v>534</v>
      </c>
      <c r="F60" s="332" t="s">
        <v>40</v>
      </c>
      <c r="G60" s="297">
        <v>314025.01</v>
      </c>
      <c r="H60" s="297">
        <v>314025.01</v>
      </c>
    </row>
    <row r="61" spans="1:8" s="276" customFormat="1" ht="14.1" customHeight="1">
      <c r="A61" s="286"/>
      <c r="B61" s="331" t="s">
        <v>522</v>
      </c>
      <c r="C61" s="332" t="s">
        <v>523</v>
      </c>
      <c r="D61" s="333" t="s">
        <v>535</v>
      </c>
      <c r="E61" s="334" t="s">
        <v>536</v>
      </c>
      <c r="F61" s="332" t="s">
        <v>476</v>
      </c>
      <c r="G61" s="297">
        <v>15000</v>
      </c>
      <c r="H61" s="297">
        <v>15000</v>
      </c>
    </row>
    <row r="62" spans="1:8">
      <c r="A62" s="142"/>
      <c r="B62" s="141"/>
      <c r="C62" s="306"/>
      <c r="D62" s="145"/>
      <c r="E62" s="309"/>
      <c r="F62" s="143"/>
      <c r="G62" s="298"/>
      <c r="H62" s="298"/>
    </row>
    <row r="63" spans="1:8" s="276" customFormat="1" ht="14.1" customHeight="1">
      <c r="A63" s="291" t="s">
        <v>48</v>
      </c>
      <c r="B63" s="292"/>
      <c r="C63" s="293"/>
      <c r="D63" s="294"/>
      <c r="E63" s="326"/>
      <c r="F63" s="293"/>
      <c r="G63" s="299"/>
      <c r="H63" s="299"/>
    </row>
    <row r="64" spans="1:8">
      <c r="A64" s="142"/>
      <c r="B64" s="141"/>
      <c r="C64" s="143"/>
      <c r="D64" s="145"/>
      <c r="E64" s="309"/>
      <c r="F64" s="143"/>
      <c r="G64" s="298"/>
      <c r="H64" s="298"/>
    </row>
    <row r="65" spans="1:8" s="276" customFormat="1" ht="14.1" customHeight="1">
      <c r="A65" s="291" t="s">
        <v>491</v>
      </c>
      <c r="B65" s="292"/>
      <c r="C65" s="293"/>
      <c r="D65" s="294"/>
      <c r="E65" s="326"/>
      <c r="F65" s="293"/>
      <c r="G65" s="299"/>
      <c r="H65" s="299"/>
    </row>
    <row r="66" spans="1:8" s="276" customFormat="1" ht="14.1" customHeight="1">
      <c r="A66" s="281"/>
      <c r="B66" s="327" t="s">
        <v>522</v>
      </c>
      <c r="C66" s="328" t="s">
        <v>537</v>
      </c>
      <c r="D66" s="329" t="s">
        <v>524</v>
      </c>
      <c r="E66" s="330" t="s">
        <v>538</v>
      </c>
      <c r="F66" s="328" t="s">
        <v>40</v>
      </c>
      <c r="G66" s="296">
        <v>252390642.09</v>
      </c>
      <c r="H66" s="296">
        <v>235267024.91</v>
      </c>
    </row>
    <row r="67" spans="1:8" s="276" customFormat="1" ht="14.1" customHeight="1">
      <c r="A67" s="286"/>
      <c r="B67" s="331" t="s">
        <v>522</v>
      </c>
      <c r="C67" s="332" t="s">
        <v>539</v>
      </c>
      <c r="D67" s="333" t="s">
        <v>524</v>
      </c>
      <c r="E67" s="334" t="s">
        <v>540</v>
      </c>
      <c r="F67" s="332" t="s">
        <v>40</v>
      </c>
      <c r="G67" s="297">
        <v>464408.41</v>
      </c>
      <c r="H67" s="297">
        <v>464408.41</v>
      </c>
    </row>
    <row r="68" spans="1:8" s="276" customFormat="1" ht="14.1" customHeight="1">
      <c r="A68" s="286"/>
      <c r="B68" s="331" t="s">
        <v>522</v>
      </c>
      <c r="C68" s="332" t="s">
        <v>541</v>
      </c>
      <c r="D68" s="333" t="s">
        <v>524</v>
      </c>
      <c r="E68" s="334" t="s">
        <v>542</v>
      </c>
      <c r="F68" s="332" t="s">
        <v>40</v>
      </c>
      <c r="G68" s="297">
        <v>94452579.530000001</v>
      </c>
      <c r="H68" s="297">
        <v>95019357.510000005</v>
      </c>
    </row>
    <row r="69" spans="1:8">
      <c r="A69" s="142" t="s">
        <v>49</v>
      </c>
      <c r="B69" s="141"/>
      <c r="C69" s="143"/>
      <c r="D69" s="145"/>
      <c r="E69" s="309"/>
      <c r="F69" s="143"/>
      <c r="G69" s="298"/>
      <c r="H69" s="298"/>
    </row>
    <row r="70" spans="1:8">
      <c r="A70" s="142" t="s">
        <v>50</v>
      </c>
      <c r="B70" s="141"/>
      <c r="C70" s="143"/>
      <c r="D70" s="145"/>
      <c r="E70" s="309"/>
      <c r="F70" s="143"/>
      <c r="G70" s="298"/>
      <c r="H70" s="298"/>
    </row>
    <row r="71" spans="1:8">
      <c r="A71" s="142" t="s">
        <v>51</v>
      </c>
      <c r="B71" s="141"/>
      <c r="C71" s="143"/>
      <c r="D71" s="145"/>
      <c r="E71" s="309"/>
      <c r="F71" s="143"/>
      <c r="G71" s="298"/>
      <c r="H71" s="298"/>
    </row>
    <row r="72" spans="1:8" s="276" customFormat="1" ht="14.1" customHeight="1">
      <c r="A72" s="291" t="s">
        <v>339</v>
      </c>
      <c r="B72" s="292"/>
      <c r="C72" s="293"/>
      <c r="D72" s="294"/>
      <c r="E72" s="326"/>
      <c r="F72" s="293"/>
      <c r="G72" s="299"/>
      <c r="H72" s="299"/>
    </row>
    <row r="73" spans="1:8" s="276" customFormat="1" ht="14.1" customHeight="1">
      <c r="A73" s="281" t="s">
        <v>547</v>
      </c>
      <c r="B73" s="327" t="s">
        <v>522</v>
      </c>
      <c r="C73" s="328" t="s">
        <v>523</v>
      </c>
      <c r="D73" s="329" t="s">
        <v>543</v>
      </c>
      <c r="E73" s="330" t="s">
        <v>544</v>
      </c>
      <c r="F73" s="328" t="s">
        <v>40</v>
      </c>
      <c r="G73" s="296">
        <v>7093688.5700000003</v>
      </c>
      <c r="H73" s="296">
        <v>8435318.5299999993</v>
      </c>
    </row>
    <row r="74" spans="1:8" s="276" customFormat="1" ht="14.1" customHeight="1">
      <c r="A74" s="286" t="s">
        <v>548</v>
      </c>
      <c r="B74" s="331" t="s">
        <v>522</v>
      </c>
      <c r="C74" s="332" t="s">
        <v>523</v>
      </c>
      <c r="D74" s="333" t="s">
        <v>545</v>
      </c>
      <c r="E74" s="334" t="s">
        <v>546</v>
      </c>
      <c r="F74" s="332" t="s">
        <v>40</v>
      </c>
      <c r="G74" s="297">
        <v>3373907.2</v>
      </c>
      <c r="H74" s="297">
        <v>3390546.62</v>
      </c>
    </row>
    <row r="75" spans="1:8" ht="12.75" thickBot="1">
      <c r="A75" s="310"/>
      <c r="B75" s="311"/>
      <c r="C75" s="141"/>
      <c r="D75" s="312"/>
      <c r="E75" s="309"/>
      <c r="F75" s="141"/>
      <c r="G75" s="298"/>
      <c r="H75" s="298"/>
    </row>
    <row r="76" spans="1:8" s="276" customFormat="1" ht="20.100000000000001" customHeight="1" thickBot="1">
      <c r="A76" s="272" t="s">
        <v>516</v>
      </c>
      <c r="B76" s="351"/>
      <c r="C76" s="352"/>
      <c r="D76" s="353"/>
      <c r="E76" s="354"/>
      <c r="F76" s="355"/>
      <c r="G76" s="356">
        <f>+G48+G51+G52+G53+G54+G59+G60+G66+G67+G68+G73+G74</f>
        <v>1212749461.6999998</v>
      </c>
      <c r="H76" s="356">
        <f>+H48+H51+H52+H53+H54+H59+H60+H66+H67+H68+H73+H74</f>
        <v>1272192122.3199999</v>
      </c>
    </row>
    <row r="77" spans="1:8" s="276" customFormat="1" ht="20.100000000000001" customHeight="1" thickBot="1">
      <c r="A77" s="277" t="s">
        <v>517</v>
      </c>
      <c r="B77" s="357"/>
      <c r="C77" s="353"/>
      <c r="D77" s="353"/>
      <c r="E77" s="353"/>
      <c r="F77" s="355"/>
      <c r="G77" s="356">
        <f>+G61</f>
        <v>15000</v>
      </c>
      <c r="H77" s="356">
        <f>+H61</f>
        <v>15000</v>
      </c>
    </row>
    <row r="83" spans="1:8" ht="22.5" customHeight="1" thickBot="1">
      <c r="A83" s="336" t="s">
        <v>549</v>
      </c>
    </row>
    <row r="84" spans="1:8" ht="12.75" thickBot="1">
      <c r="A84" s="1760" t="s">
        <v>345</v>
      </c>
      <c r="B84" s="1760" t="s">
        <v>99</v>
      </c>
      <c r="C84" s="1762" t="s">
        <v>344</v>
      </c>
      <c r="D84" s="1763"/>
      <c r="E84" s="1763"/>
      <c r="F84" s="1763"/>
      <c r="G84" s="1763"/>
      <c r="H84" s="1763"/>
    </row>
    <row r="85" spans="1:8" ht="24.75" thickBot="1">
      <c r="A85" s="1761"/>
      <c r="B85" s="1761"/>
      <c r="C85" s="153" t="s">
        <v>343</v>
      </c>
      <c r="D85" s="187" t="s">
        <v>342</v>
      </c>
      <c r="E85" s="153" t="s">
        <v>341</v>
      </c>
      <c r="F85" s="271" t="s">
        <v>340</v>
      </c>
      <c r="G85" s="271" t="s">
        <v>520</v>
      </c>
      <c r="H85" s="271" t="s">
        <v>521</v>
      </c>
    </row>
    <row r="86" spans="1:8">
      <c r="A86" s="150"/>
      <c r="B86" s="149"/>
      <c r="C86" s="143"/>
      <c r="D86" s="145"/>
      <c r="E86" s="144"/>
      <c r="F86" s="143"/>
      <c r="G86" s="143"/>
      <c r="H86" s="143"/>
    </row>
    <row r="87" spans="1:8" ht="14.1" customHeight="1">
      <c r="A87" s="142" t="s">
        <v>44</v>
      </c>
      <c r="B87" s="305" t="s">
        <v>550</v>
      </c>
      <c r="C87" s="143" t="s">
        <v>551</v>
      </c>
      <c r="D87" s="307" t="s">
        <v>552</v>
      </c>
      <c r="E87" s="337">
        <v>37607</v>
      </c>
      <c r="F87" s="306" t="s">
        <v>468</v>
      </c>
      <c r="G87" s="308">
        <v>0</v>
      </c>
      <c r="H87" s="308">
        <v>0</v>
      </c>
    </row>
    <row r="88" spans="1:8">
      <c r="A88" s="142"/>
      <c r="B88" s="305"/>
      <c r="C88" s="143"/>
      <c r="D88" s="307"/>
      <c r="E88" s="337"/>
      <c r="F88" s="306"/>
      <c r="G88" s="338"/>
      <c r="H88" s="338"/>
    </row>
    <row r="89" spans="1:8" ht="14.1" customHeight="1">
      <c r="A89" s="291" t="s">
        <v>457</v>
      </c>
      <c r="B89" s="305"/>
      <c r="C89" s="143"/>
      <c r="D89" s="307"/>
      <c r="E89" s="337"/>
      <c r="F89" s="306"/>
      <c r="G89" s="338"/>
      <c r="H89" s="338"/>
    </row>
    <row r="90" spans="1:8" ht="14.1" customHeight="1">
      <c r="A90" s="313"/>
      <c r="B90" s="314" t="s">
        <v>550</v>
      </c>
      <c r="C90" s="340" t="s">
        <v>523</v>
      </c>
      <c r="D90" s="316" t="s">
        <v>553</v>
      </c>
      <c r="E90" s="341">
        <v>37156</v>
      </c>
      <c r="F90" s="315" t="s">
        <v>468</v>
      </c>
      <c r="G90" s="342">
        <v>1487141.25</v>
      </c>
      <c r="H90" s="342">
        <v>1597840.04</v>
      </c>
    </row>
    <row r="91" spans="1:8" ht="14.1" customHeight="1">
      <c r="A91" s="317"/>
      <c r="B91" s="318" t="s">
        <v>550</v>
      </c>
      <c r="C91" s="343" t="s">
        <v>523</v>
      </c>
      <c r="D91" s="320" t="s">
        <v>554</v>
      </c>
      <c r="E91" s="344">
        <v>37170</v>
      </c>
      <c r="F91" s="319" t="s">
        <v>555</v>
      </c>
      <c r="G91" s="345">
        <v>107773.02</v>
      </c>
      <c r="H91" s="345">
        <v>122800.03</v>
      </c>
    </row>
    <row r="92" spans="1:8" ht="14.1" customHeight="1">
      <c r="A92" s="317"/>
      <c r="B92" s="318" t="s">
        <v>550</v>
      </c>
      <c r="C92" s="343" t="s">
        <v>523</v>
      </c>
      <c r="D92" s="320" t="s">
        <v>556</v>
      </c>
      <c r="E92" s="344">
        <v>38317</v>
      </c>
      <c r="F92" s="319" t="s">
        <v>468</v>
      </c>
      <c r="G92" s="345">
        <v>129090.96</v>
      </c>
      <c r="H92" s="345">
        <v>158648.35</v>
      </c>
    </row>
    <row r="93" spans="1:8" ht="14.1" customHeight="1">
      <c r="A93" s="317"/>
      <c r="B93" s="318" t="s">
        <v>550</v>
      </c>
      <c r="C93" s="343" t="s">
        <v>551</v>
      </c>
      <c r="D93" s="320" t="s">
        <v>552</v>
      </c>
      <c r="E93" s="344">
        <v>37607</v>
      </c>
      <c r="F93" s="319" t="s">
        <v>468</v>
      </c>
      <c r="G93" s="345">
        <v>519847.6</v>
      </c>
      <c r="H93" s="345">
        <v>118631.85</v>
      </c>
    </row>
    <row r="94" spans="1:8" ht="14.1" customHeight="1">
      <c r="A94" s="317"/>
      <c r="B94" s="318" t="s">
        <v>550</v>
      </c>
      <c r="C94" s="346" t="s">
        <v>523</v>
      </c>
      <c r="D94" s="347" t="s">
        <v>557</v>
      </c>
      <c r="E94" s="348">
        <v>43160</v>
      </c>
      <c r="F94" s="349" t="s">
        <v>468</v>
      </c>
      <c r="G94" s="350">
        <v>944406.84000000008</v>
      </c>
      <c r="H94" s="350">
        <v>958872.72</v>
      </c>
    </row>
    <row r="95" spans="1:8" ht="14.1" customHeight="1">
      <c r="A95" s="317"/>
      <c r="B95" s="318" t="s">
        <v>550</v>
      </c>
      <c r="C95" s="346" t="s">
        <v>523</v>
      </c>
      <c r="D95" s="347" t="s">
        <v>558</v>
      </c>
      <c r="E95" s="348">
        <v>43344</v>
      </c>
      <c r="F95" s="349" t="s">
        <v>468</v>
      </c>
      <c r="G95" s="350">
        <v>140363.85999999999</v>
      </c>
      <c r="H95" s="350">
        <v>140363.85999999999</v>
      </c>
    </row>
    <row r="96" spans="1:8">
      <c r="A96" s="142"/>
      <c r="B96" s="305"/>
      <c r="C96" s="143"/>
      <c r="D96" s="307"/>
      <c r="E96" s="337"/>
      <c r="F96" s="306"/>
      <c r="G96" s="338"/>
      <c r="H96" s="338"/>
    </row>
    <row r="97" spans="1:8" ht="14.1" customHeight="1">
      <c r="A97" s="142" t="s">
        <v>518</v>
      </c>
      <c r="B97" s="305"/>
      <c r="C97" s="143"/>
      <c r="D97" s="307"/>
      <c r="E97" s="337"/>
      <c r="F97" s="306"/>
      <c r="G97" s="338"/>
      <c r="H97" s="338"/>
    </row>
    <row r="98" spans="1:8">
      <c r="A98" s="142"/>
      <c r="B98" s="305"/>
      <c r="C98" s="143"/>
      <c r="D98" s="307"/>
      <c r="E98" s="337"/>
      <c r="F98" s="306"/>
      <c r="G98" s="338"/>
      <c r="H98" s="338"/>
    </row>
    <row r="99" spans="1:8" ht="14.1" customHeight="1">
      <c r="A99" s="142" t="s">
        <v>47</v>
      </c>
      <c r="B99" s="305"/>
      <c r="C99" s="143"/>
      <c r="D99" s="307"/>
      <c r="E99" s="337"/>
      <c r="F99" s="306"/>
      <c r="G99" s="338"/>
      <c r="H99" s="338"/>
    </row>
    <row r="100" spans="1:8" ht="14.1" customHeight="1">
      <c r="A100" s="313"/>
      <c r="B100" s="314" t="s">
        <v>550</v>
      </c>
      <c r="C100" s="340" t="s">
        <v>523</v>
      </c>
      <c r="D100" s="316" t="s">
        <v>559</v>
      </c>
      <c r="E100" s="341">
        <v>38658</v>
      </c>
      <c r="F100" s="315" t="s">
        <v>468</v>
      </c>
      <c r="G100" s="342">
        <v>10617545.550000001</v>
      </c>
      <c r="H100" s="342">
        <v>10617545.550000001</v>
      </c>
    </row>
    <row r="101" spans="1:8" ht="14.1" customHeight="1">
      <c r="A101" s="317"/>
      <c r="B101" s="318" t="s">
        <v>550</v>
      </c>
      <c r="C101" s="343" t="s">
        <v>523</v>
      </c>
      <c r="D101" s="320" t="s">
        <v>560</v>
      </c>
      <c r="E101" s="344">
        <v>40424</v>
      </c>
      <c r="F101" s="319" t="s">
        <v>468</v>
      </c>
      <c r="G101" s="345">
        <v>12927765.130000001</v>
      </c>
      <c r="H101" s="345">
        <v>12845479.869999999</v>
      </c>
    </row>
    <row r="102" spans="1:8" ht="14.1" customHeight="1">
      <c r="A102" s="317"/>
      <c r="B102" s="318" t="s">
        <v>550</v>
      </c>
      <c r="C102" s="343" t="s">
        <v>551</v>
      </c>
      <c r="D102" s="320" t="s">
        <v>552</v>
      </c>
      <c r="E102" s="344">
        <v>42873</v>
      </c>
      <c r="F102" s="319" t="s">
        <v>468</v>
      </c>
      <c r="G102" s="345">
        <v>16064251.130000001</v>
      </c>
      <c r="H102" s="345">
        <v>13725932.32</v>
      </c>
    </row>
    <row r="103" spans="1:8">
      <c r="A103" s="142"/>
      <c r="B103" s="141"/>
      <c r="C103" s="143"/>
      <c r="D103" s="145"/>
      <c r="E103" s="144"/>
      <c r="F103" s="143"/>
      <c r="G103" s="143"/>
      <c r="H103" s="143"/>
    </row>
    <row r="104" spans="1:8" ht="14.1" customHeight="1">
      <c r="A104" s="142" t="s">
        <v>48</v>
      </c>
      <c r="B104" s="141"/>
      <c r="C104" s="143"/>
      <c r="D104" s="145"/>
      <c r="E104" s="144"/>
      <c r="F104" s="143"/>
      <c r="G104" s="143"/>
      <c r="H104" s="143"/>
    </row>
    <row r="105" spans="1:8">
      <c r="A105" s="142"/>
      <c r="B105" s="141"/>
      <c r="C105" s="143"/>
      <c r="D105" s="145"/>
      <c r="E105" s="144"/>
      <c r="F105" s="143"/>
      <c r="G105" s="143"/>
      <c r="H105" s="143"/>
    </row>
    <row r="106" spans="1:8">
      <c r="A106" s="142" t="s">
        <v>491</v>
      </c>
      <c r="B106" s="141"/>
      <c r="C106" s="143"/>
      <c r="D106" s="145"/>
      <c r="E106" s="144"/>
      <c r="F106" s="143"/>
      <c r="G106" s="143"/>
      <c r="H106" s="143"/>
    </row>
    <row r="107" spans="1:8">
      <c r="A107" s="142" t="s">
        <v>49</v>
      </c>
      <c r="B107" s="141"/>
      <c r="C107" s="143"/>
      <c r="D107" s="145"/>
      <c r="E107" s="144"/>
      <c r="F107" s="143"/>
      <c r="G107" s="143"/>
      <c r="H107" s="143"/>
    </row>
    <row r="108" spans="1:8">
      <c r="A108" s="142" t="s">
        <v>50</v>
      </c>
      <c r="B108" s="141"/>
      <c r="C108" s="143"/>
      <c r="D108" s="145"/>
      <c r="E108" s="144"/>
      <c r="F108" s="143"/>
      <c r="G108" s="143"/>
      <c r="H108" s="143"/>
    </row>
    <row r="109" spans="1:8">
      <c r="A109" s="142" t="s">
        <v>51</v>
      </c>
      <c r="B109" s="141"/>
      <c r="C109" s="143"/>
      <c r="D109" s="145"/>
      <c r="E109" s="144"/>
      <c r="F109" s="143"/>
      <c r="G109" s="143"/>
      <c r="H109" s="143"/>
    </row>
    <row r="110" spans="1:8">
      <c r="A110" s="142" t="s">
        <v>339</v>
      </c>
      <c r="B110" s="141"/>
      <c r="C110" s="143"/>
      <c r="D110" s="145"/>
      <c r="E110" s="144"/>
      <c r="F110" s="143"/>
      <c r="G110" s="143"/>
      <c r="H110" s="143"/>
    </row>
    <row r="111" spans="1:8" ht="12.75" thickBot="1">
      <c r="A111" s="142"/>
      <c r="B111" s="141"/>
      <c r="C111" s="143"/>
      <c r="D111" s="145"/>
      <c r="E111" s="144"/>
      <c r="F111" s="143"/>
      <c r="G111" s="143"/>
      <c r="H111" s="143"/>
    </row>
    <row r="112" spans="1:8" s="276" customFormat="1" ht="20.100000000000001" customHeight="1" thickBot="1">
      <c r="A112" s="272" t="s">
        <v>516</v>
      </c>
      <c r="B112" s="351"/>
      <c r="C112" s="352"/>
      <c r="D112" s="353"/>
      <c r="E112" s="354"/>
      <c r="F112" s="355"/>
      <c r="G112" s="356">
        <f>+G87+G90+G92+G93+G94+G95+G100+G101+G102</f>
        <v>42830412.32</v>
      </c>
      <c r="H112" s="356">
        <f>+H87+H90+H92+H93+H94+H95+H100+H101+H102</f>
        <v>40163314.560000002</v>
      </c>
    </row>
    <row r="113" spans="1:8" s="276" customFormat="1" ht="20.100000000000001" customHeight="1" thickBot="1">
      <c r="A113" s="277" t="s">
        <v>517</v>
      </c>
      <c r="B113" s="357"/>
      <c r="C113" s="353"/>
      <c r="D113" s="353"/>
      <c r="E113" s="353"/>
      <c r="F113" s="355"/>
      <c r="G113" s="356">
        <f>+G91</f>
        <v>107773.02</v>
      </c>
      <c r="H113" s="356">
        <f>+H91</f>
        <v>122800.03</v>
      </c>
    </row>
    <row r="114" spans="1:8">
      <c r="A114" s="140" t="s">
        <v>412</v>
      </c>
      <c r="B114" s="339" t="s">
        <v>561</v>
      </c>
    </row>
    <row r="115" spans="1:8">
      <c r="A115" s="140" t="s">
        <v>413</v>
      </c>
      <c r="B115" s="339" t="s">
        <v>562</v>
      </c>
    </row>
    <row r="119" spans="1:8" ht="20.25" customHeight="1" thickBot="1">
      <c r="A119" s="31" t="s">
        <v>563</v>
      </c>
    </row>
    <row r="120" spans="1:8" ht="12.75" thickBot="1">
      <c r="A120" s="1760" t="s">
        <v>345</v>
      </c>
      <c r="B120" s="1760" t="s">
        <v>99</v>
      </c>
      <c r="C120" s="1764" t="s">
        <v>344</v>
      </c>
      <c r="D120" s="1764"/>
      <c r="E120" s="1764"/>
      <c r="F120" s="1764"/>
      <c r="G120" s="1764"/>
      <c r="H120" s="1764"/>
    </row>
    <row r="121" spans="1:8" ht="24.75" thickBot="1">
      <c r="A121" s="1761"/>
      <c r="B121" s="1761"/>
      <c r="C121" s="153" t="s">
        <v>343</v>
      </c>
      <c r="D121" s="304" t="s">
        <v>342</v>
      </c>
      <c r="E121" s="153" t="s">
        <v>341</v>
      </c>
      <c r="F121" s="304" t="s">
        <v>340</v>
      </c>
      <c r="G121" s="304" t="s">
        <v>520</v>
      </c>
      <c r="H121" s="304" t="s">
        <v>521</v>
      </c>
    </row>
    <row r="122" spans="1:8">
      <c r="A122" s="150"/>
      <c r="B122" s="150"/>
      <c r="C122" s="144"/>
      <c r="D122" s="144"/>
      <c r="E122" s="144"/>
      <c r="F122" s="144"/>
      <c r="G122" s="144"/>
      <c r="H122" s="144"/>
    </row>
    <row r="123" spans="1:8" s="276" customFormat="1" ht="15.95" customHeight="1">
      <c r="A123" s="291" t="s">
        <v>44</v>
      </c>
      <c r="B123" s="291"/>
      <c r="C123" s="295"/>
      <c r="D123" s="295"/>
      <c r="E123" s="295"/>
      <c r="F123" s="295"/>
      <c r="G123" s="295"/>
      <c r="H123" s="295"/>
    </row>
    <row r="124" spans="1:8" s="276" customFormat="1" ht="15.95" customHeight="1">
      <c r="A124" s="281"/>
      <c r="B124" s="362" t="s">
        <v>564</v>
      </c>
      <c r="C124" s="363" t="s">
        <v>565</v>
      </c>
      <c r="D124" s="363" t="s">
        <v>566</v>
      </c>
      <c r="E124" s="362">
        <v>2003</v>
      </c>
      <c r="F124" s="363" t="s">
        <v>567</v>
      </c>
      <c r="G124" s="364">
        <v>0</v>
      </c>
      <c r="H124" s="364">
        <v>0</v>
      </c>
    </row>
    <row r="125" spans="1:8">
      <c r="A125" s="142"/>
      <c r="B125" s="358"/>
      <c r="C125" s="359"/>
      <c r="D125" s="359"/>
      <c r="E125" s="358"/>
      <c r="F125" s="359"/>
      <c r="G125" s="360"/>
      <c r="H125" s="360"/>
    </row>
    <row r="126" spans="1:8" s="276" customFormat="1" ht="15.95" customHeight="1">
      <c r="A126" s="291" t="s">
        <v>457</v>
      </c>
      <c r="B126" s="365"/>
      <c r="C126" s="295"/>
      <c r="D126" s="366"/>
      <c r="E126" s="365"/>
      <c r="F126" s="366"/>
      <c r="G126" s="295"/>
      <c r="H126" s="295"/>
    </row>
    <row r="127" spans="1:8" s="276" customFormat="1" ht="15.95" customHeight="1">
      <c r="A127" s="281"/>
      <c r="B127" s="362" t="s">
        <v>564</v>
      </c>
      <c r="C127" s="363" t="s">
        <v>565</v>
      </c>
      <c r="D127" s="363" t="s">
        <v>568</v>
      </c>
      <c r="E127" s="362">
        <v>2001</v>
      </c>
      <c r="F127" s="363" t="s">
        <v>567</v>
      </c>
      <c r="G127" s="364">
        <v>15082621.859999999</v>
      </c>
      <c r="H127" s="364">
        <v>21369167.760000002</v>
      </c>
    </row>
    <row r="128" spans="1:8" s="276" customFormat="1" ht="15.95" customHeight="1">
      <c r="A128" s="286"/>
      <c r="B128" s="367" t="s">
        <v>564</v>
      </c>
      <c r="C128" s="368" t="s">
        <v>565</v>
      </c>
      <c r="D128" s="368" t="s">
        <v>569</v>
      </c>
      <c r="E128" s="367">
        <v>2001</v>
      </c>
      <c r="F128" s="368" t="s">
        <v>570</v>
      </c>
      <c r="G128" s="369">
        <v>467349.71</v>
      </c>
      <c r="H128" s="369">
        <v>665771.19999999995</v>
      </c>
    </row>
    <row r="129" spans="1:8" s="276" customFormat="1" ht="15.95" customHeight="1">
      <c r="A129" s="286"/>
      <c r="B129" s="367" t="s">
        <v>564</v>
      </c>
      <c r="C129" s="368" t="s">
        <v>565</v>
      </c>
      <c r="D129" s="368" t="s">
        <v>566</v>
      </c>
      <c r="E129" s="367">
        <v>2013</v>
      </c>
      <c r="F129" s="368" t="s">
        <v>567</v>
      </c>
      <c r="G129" s="369">
        <v>11628865.33</v>
      </c>
      <c r="H129" s="369">
        <v>8452497.0999999996</v>
      </c>
    </row>
    <row r="130" spans="1:8">
      <c r="A130" s="142"/>
      <c r="B130" s="358"/>
      <c r="C130" s="359"/>
      <c r="D130" s="359"/>
      <c r="E130" s="358"/>
      <c r="F130" s="359"/>
      <c r="G130" s="360"/>
      <c r="H130" s="360"/>
    </row>
    <row r="131" spans="1:8">
      <c r="A131" s="142" t="s">
        <v>518</v>
      </c>
      <c r="B131" s="358"/>
      <c r="C131" s="359"/>
      <c r="D131" s="359"/>
      <c r="E131" s="358"/>
      <c r="F131" s="359"/>
      <c r="G131" s="360"/>
      <c r="H131" s="360"/>
    </row>
    <row r="132" spans="1:8">
      <c r="A132" s="142"/>
      <c r="B132" s="358"/>
      <c r="C132" s="144"/>
      <c r="D132" s="359"/>
      <c r="E132" s="358"/>
      <c r="F132" s="359"/>
      <c r="G132" s="360"/>
      <c r="H132" s="360"/>
    </row>
    <row r="133" spans="1:8" s="276" customFormat="1" ht="15.95" customHeight="1">
      <c r="A133" s="291" t="s">
        <v>47</v>
      </c>
      <c r="B133" s="365"/>
      <c r="C133" s="295"/>
      <c r="D133" s="366"/>
      <c r="E133" s="365"/>
      <c r="F133" s="366"/>
      <c r="G133" s="370"/>
      <c r="H133" s="370"/>
    </row>
    <row r="134" spans="1:8" s="276" customFormat="1" ht="15.95" customHeight="1">
      <c r="A134" s="281"/>
      <c r="B134" s="362" t="s">
        <v>564</v>
      </c>
      <c r="C134" s="363" t="s">
        <v>565</v>
      </c>
      <c r="D134" s="363" t="s">
        <v>571</v>
      </c>
      <c r="E134" s="362">
        <v>2015</v>
      </c>
      <c r="F134" s="363" t="s">
        <v>567</v>
      </c>
      <c r="G134" s="364">
        <v>23581.75</v>
      </c>
      <c r="H134" s="364">
        <v>23581.75</v>
      </c>
    </row>
    <row r="135" spans="1:8" s="276" customFormat="1" ht="15.95" customHeight="1">
      <c r="A135" s="286"/>
      <c r="B135" s="367" t="s">
        <v>564</v>
      </c>
      <c r="C135" s="368" t="s">
        <v>565</v>
      </c>
      <c r="D135" s="368" t="s">
        <v>572</v>
      </c>
      <c r="E135" s="367">
        <v>2016</v>
      </c>
      <c r="F135" s="368" t="s">
        <v>567</v>
      </c>
      <c r="G135" s="369">
        <v>5224.28</v>
      </c>
      <c r="H135" s="369">
        <v>0</v>
      </c>
    </row>
    <row r="136" spans="1:8">
      <c r="A136" s="142"/>
      <c r="B136" s="358"/>
      <c r="C136" s="144"/>
      <c r="D136" s="144"/>
      <c r="E136" s="358"/>
      <c r="F136" s="359"/>
      <c r="G136" s="360"/>
      <c r="H136" s="360"/>
    </row>
    <row r="137" spans="1:8" s="276" customFormat="1" ht="15.95" customHeight="1">
      <c r="A137" s="291" t="s">
        <v>48</v>
      </c>
      <c r="B137" s="365"/>
      <c r="C137" s="295"/>
      <c r="D137" s="295"/>
      <c r="E137" s="365"/>
      <c r="F137" s="366"/>
      <c r="G137" s="295"/>
      <c r="H137" s="295"/>
    </row>
    <row r="138" spans="1:8">
      <c r="A138" s="142"/>
      <c r="B138" s="358"/>
      <c r="C138" s="144"/>
      <c r="D138" s="144"/>
      <c r="E138" s="358"/>
      <c r="F138" s="359"/>
      <c r="G138" s="144"/>
      <c r="H138" s="144"/>
    </row>
    <row r="139" spans="1:8">
      <c r="A139" s="142" t="s">
        <v>491</v>
      </c>
      <c r="B139" s="358"/>
      <c r="C139" s="359"/>
      <c r="D139" s="144"/>
      <c r="E139" s="358"/>
      <c r="F139" s="359"/>
      <c r="G139" s="144"/>
      <c r="H139" s="144"/>
    </row>
    <row r="140" spans="1:8">
      <c r="A140" s="142" t="s">
        <v>49</v>
      </c>
      <c r="B140" s="142"/>
      <c r="C140" s="144"/>
      <c r="D140" s="144"/>
      <c r="E140" s="144"/>
      <c r="F140" s="144"/>
      <c r="G140" s="144"/>
      <c r="H140" s="144"/>
    </row>
    <row r="141" spans="1:8">
      <c r="A141" s="142" t="s">
        <v>50</v>
      </c>
      <c r="B141" s="142"/>
      <c r="C141" s="144"/>
      <c r="D141" s="144"/>
      <c r="E141" s="144"/>
      <c r="F141" s="144"/>
      <c r="G141" s="144"/>
      <c r="H141" s="144"/>
    </row>
    <row r="142" spans="1:8">
      <c r="A142" s="142" t="s">
        <v>51</v>
      </c>
      <c r="B142" s="142"/>
      <c r="C142" s="144"/>
      <c r="D142" s="144"/>
      <c r="E142" s="144"/>
      <c r="F142" s="144"/>
      <c r="G142" s="144"/>
      <c r="H142" s="144"/>
    </row>
    <row r="143" spans="1:8">
      <c r="A143" s="142" t="s">
        <v>339</v>
      </c>
      <c r="B143" s="142"/>
      <c r="C143" s="144"/>
      <c r="D143" s="144"/>
      <c r="E143" s="144"/>
      <c r="F143" s="144"/>
      <c r="G143" s="144"/>
      <c r="H143" s="144"/>
    </row>
    <row r="144" spans="1:8" ht="12.75" thickBot="1">
      <c r="A144" s="310"/>
      <c r="B144" s="310"/>
      <c r="C144" s="361"/>
      <c r="D144" s="361"/>
      <c r="E144" s="361"/>
      <c r="F144" s="361"/>
      <c r="G144" s="361"/>
      <c r="H144" s="361"/>
    </row>
    <row r="145" spans="1:8" s="276" customFormat="1" ht="20.100000000000001" customHeight="1" thickBot="1">
      <c r="A145" s="272" t="s">
        <v>516</v>
      </c>
      <c r="B145" s="351"/>
      <c r="C145" s="352"/>
      <c r="D145" s="353"/>
      <c r="E145" s="371"/>
      <c r="F145" s="353"/>
      <c r="G145" s="372">
        <f>+G124+G127+G129+G134+G135</f>
        <v>26740293.219999999</v>
      </c>
      <c r="H145" s="372">
        <f>+H124+H127+H129+H134+H135</f>
        <v>29845246.609999999</v>
      </c>
    </row>
    <row r="146" spans="1:8" s="276" customFormat="1" ht="20.100000000000001" customHeight="1" thickBot="1">
      <c r="A146" s="277" t="s">
        <v>517</v>
      </c>
      <c r="B146" s="357"/>
      <c r="C146" s="352"/>
      <c r="D146" s="353"/>
      <c r="E146" s="371"/>
      <c r="F146" s="353"/>
      <c r="G146" s="356">
        <f>+G128</f>
        <v>467349.71</v>
      </c>
      <c r="H146" s="356">
        <f>+H128</f>
        <v>665771.19999999995</v>
      </c>
    </row>
    <row r="147" spans="1:8">
      <c r="A147" s="140" t="s">
        <v>412</v>
      </c>
    </row>
    <row r="148" spans="1:8">
      <c r="A148" s="140" t="s">
        <v>413</v>
      </c>
    </row>
  </sheetData>
  <mergeCells count="12">
    <mergeCell ref="C4:H4"/>
    <mergeCell ref="B4:B5"/>
    <mergeCell ref="A4:A5"/>
    <mergeCell ref="A45:A46"/>
    <mergeCell ref="B45:B46"/>
    <mergeCell ref="C45:H45"/>
    <mergeCell ref="A84:A85"/>
    <mergeCell ref="B84:B85"/>
    <mergeCell ref="C84:H84"/>
    <mergeCell ref="A120:A121"/>
    <mergeCell ref="B120:B121"/>
    <mergeCell ref="C120:H120"/>
  </mergeCells>
  <printOptions horizontalCentered="1"/>
  <pageMargins left="0.23622047244094491" right="0.23622047244094491" top="0.94488188976377963" bottom="0.55118110236220474" header="0.51181102362204722" footer="0.31496062992125984"/>
  <pageSetup paperSize="9" scale="70" orientation="landscape" r:id="rId1"/>
  <headerFooter alignWithMargins="0">
    <oddHeader xml:space="preserve">&amp;C&amp;"Arial,Negrita"&amp;18PROYECTO DE PRESUPUESTO 2021
</oddHeader>
    <oddFooter>&amp;L&amp;"Arial,Negrita"&amp;8PROYECTO DE PRESUPUESTO PARA EL AÑO FISCAL 2021
INFORMACIÓN PARA LA COMISIÓN DE PRESUPUESTO Y CUENTA GENERAL DE LA REPÚBLICA DEL CONGRESO DE LA REPÚBLICA</oddFooter>
  </headerFooter>
  <rowBreaks count="3" manualBreakCount="3">
    <brk id="43" max="7" man="1"/>
    <brk id="82" max="7" man="1"/>
    <brk id="118" max="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C6506-DFEB-488B-9CA3-6B3A943C25F7}">
  <sheetPr>
    <tabColor theme="8" tint="-0.249977111117893"/>
  </sheetPr>
  <dimension ref="A1:V1453"/>
  <sheetViews>
    <sheetView showGridLines="0" view="pageBreakPreview" zoomScale="90" zoomScaleNormal="80" zoomScaleSheetLayoutView="90" zoomScalePageLayoutView="75" workbookViewId="0">
      <selection activeCell="H1187" sqref="H1187"/>
    </sheetView>
  </sheetViews>
  <sheetFormatPr baseColWidth="10" defaultColWidth="11.42578125" defaultRowHeight="12"/>
  <cols>
    <col min="1" max="1" width="24.42578125" style="404" customWidth="1"/>
    <col min="2" max="2" width="15.5703125" style="404" customWidth="1"/>
    <col min="3" max="3" width="13.42578125" style="404" customWidth="1"/>
    <col min="4" max="4" width="43.85546875" style="404" customWidth="1"/>
    <col min="5" max="5" width="18.28515625" style="404" customWidth="1"/>
    <col min="6" max="6" width="12.28515625" style="889" customWidth="1"/>
    <col min="7" max="7" width="37.42578125" style="404" customWidth="1"/>
    <col min="8" max="8" width="35.28515625" style="404" customWidth="1"/>
    <col min="9" max="9" width="25.140625" style="404" customWidth="1"/>
    <col min="10" max="10" width="24" style="404" customWidth="1"/>
    <col min="11" max="11" width="7.5703125" style="888" customWidth="1"/>
    <col min="12" max="12" width="6.140625" style="888" customWidth="1"/>
    <col min="13" max="13" width="13.42578125" style="404" bestFit="1" customWidth="1"/>
    <col min="14" max="14" width="7.42578125" style="404" customWidth="1"/>
    <col min="15" max="15" width="5.140625" style="404" customWidth="1"/>
    <col min="16" max="16" width="13.42578125" style="404" bestFit="1" customWidth="1"/>
    <col min="17" max="17" width="11.42578125" style="404"/>
    <col min="18" max="18" width="11.42578125" style="824"/>
    <col min="19" max="16384" width="11.42578125" style="404"/>
  </cols>
  <sheetData>
    <row r="1" spans="1:22" s="718" customFormat="1">
      <c r="A1" s="157" t="s">
        <v>414</v>
      </c>
      <c r="B1" s="157"/>
      <c r="C1" s="157"/>
      <c r="D1" s="157"/>
      <c r="E1" s="157"/>
      <c r="F1" s="151"/>
      <c r="G1" s="157"/>
      <c r="H1" s="157"/>
      <c r="I1" s="157"/>
      <c r="J1" s="157"/>
      <c r="K1" s="157"/>
      <c r="L1" s="157"/>
      <c r="R1" s="951"/>
    </row>
    <row r="2" spans="1:22" s="380" customFormat="1">
      <c r="A2" s="599" t="s">
        <v>438</v>
      </c>
      <c r="B2" s="599"/>
      <c r="C2" s="599"/>
      <c r="D2" s="599"/>
      <c r="E2" s="599"/>
      <c r="F2" s="884"/>
      <c r="G2" s="599"/>
      <c r="H2" s="599"/>
      <c r="I2" s="599"/>
      <c r="J2" s="599"/>
      <c r="K2" s="599"/>
      <c r="L2" s="599"/>
      <c r="M2" s="599"/>
      <c r="N2" s="599"/>
      <c r="O2" s="599"/>
      <c r="P2" s="599"/>
      <c r="Q2" s="599"/>
      <c r="R2" s="605"/>
      <c r="S2" s="599"/>
      <c r="T2" s="599"/>
      <c r="U2" s="599"/>
      <c r="V2" s="599"/>
    </row>
    <row r="3" spans="1:22" ht="12.75" thickBot="1"/>
    <row r="4" spans="1:22" s="949" customFormat="1" ht="21" customHeight="1" thickBot="1">
      <c r="A4" s="1718" t="s">
        <v>138</v>
      </c>
      <c r="B4" s="1767"/>
      <c r="C4" s="1767"/>
      <c r="D4" s="1767"/>
      <c r="E4" s="1719"/>
      <c r="F4" s="1716" t="s">
        <v>139</v>
      </c>
      <c r="G4" s="1768"/>
      <c r="H4" s="1769"/>
      <c r="I4" s="1769"/>
      <c r="J4" s="1717"/>
      <c r="K4" s="1770" t="s">
        <v>4247</v>
      </c>
      <c r="L4" s="1771"/>
      <c r="M4" s="1772"/>
      <c r="N4" s="1770" t="s">
        <v>4246</v>
      </c>
      <c r="O4" s="1771"/>
      <c r="P4" s="1772"/>
      <c r="R4" s="950"/>
    </row>
    <row r="5" spans="1:22" s="929" customFormat="1" ht="66.75" customHeight="1">
      <c r="A5" s="947" t="s">
        <v>99</v>
      </c>
      <c r="B5" s="945" t="s">
        <v>8</v>
      </c>
      <c r="C5" s="945" t="s">
        <v>95</v>
      </c>
      <c r="D5" s="946" t="s">
        <v>100</v>
      </c>
      <c r="E5" s="948" t="s">
        <v>122</v>
      </c>
      <c r="F5" s="947" t="s">
        <v>127</v>
      </c>
      <c r="G5" s="946" t="s">
        <v>128</v>
      </c>
      <c r="H5" s="946" t="s">
        <v>141</v>
      </c>
      <c r="I5" s="945" t="s">
        <v>142</v>
      </c>
      <c r="J5" s="944" t="s">
        <v>132</v>
      </c>
      <c r="K5" s="943" t="s">
        <v>129</v>
      </c>
      <c r="L5" s="942" t="s">
        <v>130</v>
      </c>
      <c r="M5" s="941" t="s">
        <v>131</v>
      </c>
      <c r="N5" s="943" t="s">
        <v>129</v>
      </c>
      <c r="O5" s="942" t="s">
        <v>130</v>
      </c>
      <c r="P5" s="941" t="s">
        <v>131</v>
      </c>
      <c r="R5" s="930"/>
    </row>
    <row r="6" spans="1:22" s="929" customFormat="1" ht="17.25" customHeight="1">
      <c r="A6" s="940" t="s">
        <v>3197</v>
      </c>
      <c r="B6" s="934"/>
      <c r="C6" s="934"/>
      <c r="D6" s="939"/>
      <c r="E6" s="938"/>
      <c r="F6" s="937"/>
      <c r="G6" s="936"/>
      <c r="H6" s="936"/>
      <c r="I6" s="935"/>
      <c r="J6" s="934"/>
      <c r="K6" s="933"/>
      <c r="L6" s="932"/>
      <c r="M6" s="931"/>
      <c r="N6" s="885"/>
      <c r="O6" s="886"/>
      <c r="P6" s="887"/>
      <c r="R6" s="930"/>
    </row>
    <row r="7" spans="1:22" ht="18" customHeight="1">
      <c r="A7" s="924" t="s">
        <v>2732</v>
      </c>
      <c r="B7" s="908" t="s">
        <v>1402</v>
      </c>
      <c r="C7" s="908" t="s">
        <v>96</v>
      </c>
      <c r="D7" s="910" t="s">
        <v>1403</v>
      </c>
      <c r="E7" s="917">
        <v>6000</v>
      </c>
      <c r="F7" s="908">
        <v>10633911</v>
      </c>
      <c r="G7" s="882" t="s">
        <v>1404</v>
      </c>
      <c r="H7" s="882" t="s">
        <v>1405</v>
      </c>
      <c r="I7" s="883" t="s">
        <v>1406</v>
      </c>
      <c r="J7" s="911" t="s">
        <v>1407</v>
      </c>
      <c r="K7" s="879">
        <v>1</v>
      </c>
      <c r="L7" s="878">
        <v>12</v>
      </c>
      <c r="M7" s="880">
        <v>71712</v>
      </c>
      <c r="N7" s="879">
        <v>1</v>
      </c>
      <c r="O7" s="878">
        <v>6</v>
      </c>
      <c r="P7" s="880">
        <v>35902.800000000003</v>
      </c>
    </row>
    <row r="8" spans="1:22" ht="18" customHeight="1">
      <c r="A8" s="924" t="s">
        <v>2732</v>
      </c>
      <c r="B8" s="908" t="s">
        <v>1402</v>
      </c>
      <c r="C8" s="908" t="s">
        <v>96</v>
      </c>
      <c r="D8" s="910" t="s">
        <v>1408</v>
      </c>
      <c r="E8" s="917">
        <v>8500</v>
      </c>
      <c r="F8" s="908">
        <v>40234110</v>
      </c>
      <c r="G8" s="910" t="s">
        <v>1409</v>
      </c>
      <c r="H8" s="910" t="s">
        <v>1410</v>
      </c>
      <c r="I8" s="911" t="s">
        <v>1406</v>
      </c>
      <c r="J8" s="911" t="s">
        <v>1411</v>
      </c>
      <c r="K8" s="879">
        <v>1</v>
      </c>
      <c r="L8" s="878">
        <v>8</v>
      </c>
      <c r="M8" s="880">
        <v>67449.91</v>
      </c>
      <c r="N8" s="879">
        <v>1</v>
      </c>
      <c r="O8" s="878">
        <v>6</v>
      </c>
      <c r="P8" s="880">
        <v>51000</v>
      </c>
    </row>
    <row r="9" spans="1:22" ht="18" customHeight="1">
      <c r="A9" s="924" t="s">
        <v>2732</v>
      </c>
      <c r="B9" s="908" t="s">
        <v>1402</v>
      </c>
      <c r="C9" s="908" t="s">
        <v>96</v>
      </c>
      <c r="D9" s="910" t="s">
        <v>1412</v>
      </c>
      <c r="E9" s="917">
        <v>6500</v>
      </c>
      <c r="F9" s="908">
        <v>8891522</v>
      </c>
      <c r="G9" s="910" t="s">
        <v>1413</v>
      </c>
      <c r="H9" s="910" t="s">
        <v>1414</v>
      </c>
      <c r="I9" s="911" t="s">
        <v>1406</v>
      </c>
      <c r="J9" s="911" t="s">
        <v>1411</v>
      </c>
      <c r="K9" s="879">
        <v>1</v>
      </c>
      <c r="L9" s="878">
        <v>12</v>
      </c>
      <c r="M9" s="880">
        <v>78083.33</v>
      </c>
      <c r="N9" s="879">
        <v>1</v>
      </c>
      <c r="O9" s="878">
        <v>6</v>
      </c>
      <c r="P9" s="880">
        <v>39000</v>
      </c>
    </row>
    <row r="10" spans="1:22" ht="24">
      <c r="A10" s="924" t="s">
        <v>2732</v>
      </c>
      <c r="B10" s="908" t="s">
        <v>1402</v>
      </c>
      <c r="C10" s="908" t="s">
        <v>96</v>
      </c>
      <c r="D10" s="910" t="s">
        <v>1415</v>
      </c>
      <c r="E10" s="917">
        <v>7500</v>
      </c>
      <c r="F10" s="908">
        <v>10538023</v>
      </c>
      <c r="G10" s="910" t="s">
        <v>1416</v>
      </c>
      <c r="H10" s="910" t="s">
        <v>1417</v>
      </c>
      <c r="I10" s="911" t="s">
        <v>1406</v>
      </c>
      <c r="J10" s="911" t="s">
        <v>1411</v>
      </c>
      <c r="K10" s="879">
        <v>1</v>
      </c>
      <c r="L10" s="878">
        <v>12</v>
      </c>
      <c r="M10" s="880">
        <v>90300</v>
      </c>
      <c r="N10" s="879">
        <v>1</v>
      </c>
      <c r="O10" s="878">
        <v>6</v>
      </c>
      <c r="P10" s="880">
        <v>45000</v>
      </c>
    </row>
    <row r="11" spans="1:22" ht="24">
      <c r="A11" s="924" t="s">
        <v>2732</v>
      </c>
      <c r="B11" s="908" t="s">
        <v>1402</v>
      </c>
      <c r="C11" s="908" t="s">
        <v>96</v>
      </c>
      <c r="D11" s="910" t="s">
        <v>1418</v>
      </c>
      <c r="E11" s="917">
        <v>8500</v>
      </c>
      <c r="F11" s="908">
        <v>6784861</v>
      </c>
      <c r="G11" s="910" t="s">
        <v>1419</v>
      </c>
      <c r="H11" s="910" t="s">
        <v>1410</v>
      </c>
      <c r="I11" s="911" t="s">
        <v>1420</v>
      </c>
      <c r="J11" s="911" t="s">
        <v>1411</v>
      </c>
      <c r="K11" s="879">
        <v>1</v>
      </c>
      <c r="L11" s="878">
        <v>12</v>
      </c>
      <c r="M11" s="880">
        <v>102206.35</v>
      </c>
      <c r="N11" s="879">
        <v>1</v>
      </c>
      <c r="O11" s="878">
        <v>6</v>
      </c>
      <c r="P11" s="880">
        <v>51000</v>
      </c>
    </row>
    <row r="12" spans="1:22" ht="18" customHeight="1">
      <c r="A12" s="924" t="s">
        <v>2732</v>
      </c>
      <c r="B12" s="908" t="s">
        <v>1402</v>
      </c>
      <c r="C12" s="908" t="s">
        <v>96</v>
      </c>
      <c r="D12" s="910" t="s">
        <v>1421</v>
      </c>
      <c r="E12" s="917">
        <v>4000</v>
      </c>
      <c r="F12" s="908">
        <v>28315387</v>
      </c>
      <c r="G12" s="910" t="s">
        <v>1422</v>
      </c>
      <c r="H12" s="910" t="s">
        <v>1423</v>
      </c>
      <c r="I12" s="911" t="s">
        <v>1424</v>
      </c>
      <c r="J12" s="911" t="s">
        <v>1411</v>
      </c>
      <c r="K12" s="879">
        <v>1</v>
      </c>
      <c r="L12" s="878">
        <v>12</v>
      </c>
      <c r="M12" s="880">
        <v>48300</v>
      </c>
      <c r="N12" s="879">
        <v>1</v>
      </c>
      <c r="O12" s="878">
        <v>6</v>
      </c>
      <c r="P12" s="880">
        <v>24000</v>
      </c>
    </row>
    <row r="13" spans="1:22" ht="24">
      <c r="A13" s="924" t="s">
        <v>2732</v>
      </c>
      <c r="B13" s="908" t="s">
        <v>1402</v>
      </c>
      <c r="C13" s="908" t="s">
        <v>96</v>
      </c>
      <c r="D13" s="910" t="s">
        <v>1425</v>
      </c>
      <c r="E13" s="917">
        <v>5000</v>
      </c>
      <c r="F13" s="908">
        <v>2618111</v>
      </c>
      <c r="G13" s="910" t="s">
        <v>1426</v>
      </c>
      <c r="H13" s="910" t="s">
        <v>1427</v>
      </c>
      <c r="I13" s="911" t="s">
        <v>1420</v>
      </c>
      <c r="J13" s="911" t="s">
        <v>1411</v>
      </c>
      <c r="K13" s="879">
        <v>1</v>
      </c>
      <c r="L13" s="878">
        <v>12</v>
      </c>
      <c r="M13" s="880">
        <v>60300</v>
      </c>
      <c r="N13" s="879">
        <v>1</v>
      </c>
      <c r="O13" s="878">
        <v>6</v>
      </c>
      <c r="P13" s="880">
        <v>30000</v>
      </c>
    </row>
    <row r="14" spans="1:22" ht="18" customHeight="1">
      <c r="A14" s="924" t="s">
        <v>2732</v>
      </c>
      <c r="B14" s="908" t="s">
        <v>1402</v>
      </c>
      <c r="C14" s="908" t="s">
        <v>96</v>
      </c>
      <c r="D14" s="910" t="s">
        <v>1428</v>
      </c>
      <c r="E14" s="917">
        <v>6000</v>
      </c>
      <c r="F14" s="908">
        <v>43270544</v>
      </c>
      <c r="G14" s="910" t="s">
        <v>1429</v>
      </c>
      <c r="H14" s="910" t="s">
        <v>1410</v>
      </c>
      <c r="I14" s="911" t="s">
        <v>1406</v>
      </c>
      <c r="J14" s="911" t="s">
        <v>1411</v>
      </c>
      <c r="K14" s="879">
        <v>1</v>
      </c>
      <c r="L14" s="878">
        <v>2</v>
      </c>
      <c r="M14" s="880">
        <v>14000</v>
      </c>
      <c r="N14" s="879">
        <v>1</v>
      </c>
      <c r="O14" s="878">
        <v>1</v>
      </c>
      <c r="P14" s="880">
        <v>6000</v>
      </c>
    </row>
    <row r="15" spans="1:22" ht="18" customHeight="1">
      <c r="A15" s="924" t="s">
        <v>2732</v>
      </c>
      <c r="B15" s="908" t="s">
        <v>1402</v>
      </c>
      <c r="C15" s="908" t="s">
        <v>96</v>
      </c>
      <c r="D15" s="910" t="s">
        <v>1430</v>
      </c>
      <c r="E15" s="917">
        <v>3000</v>
      </c>
      <c r="F15" s="908">
        <v>10089859</v>
      </c>
      <c r="G15" s="910" t="s">
        <v>1431</v>
      </c>
      <c r="H15" s="910" t="s">
        <v>1432</v>
      </c>
      <c r="I15" s="911" t="s">
        <v>1406</v>
      </c>
      <c r="J15" s="911" t="s">
        <v>1407</v>
      </c>
      <c r="K15" s="879">
        <v>1</v>
      </c>
      <c r="L15" s="878">
        <v>2</v>
      </c>
      <c r="M15" s="880">
        <v>5300</v>
      </c>
      <c r="N15" s="879">
        <v>0</v>
      </c>
      <c r="O15" s="878" t="s">
        <v>2731</v>
      </c>
      <c r="P15" s="880">
        <v>0</v>
      </c>
    </row>
    <row r="16" spans="1:22" ht="18" customHeight="1">
      <c r="A16" s="924" t="s">
        <v>2732</v>
      </c>
      <c r="B16" s="908" t="s">
        <v>1402</v>
      </c>
      <c r="C16" s="908" t="s">
        <v>96</v>
      </c>
      <c r="D16" s="910" t="s">
        <v>1433</v>
      </c>
      <c r="E16" s="917">
        <v>3000</v>
      </c>
      <c r="F16" s="908">
        <v>40441945</v>
      </c>
      <c r="G16" s="910" t="s">
        <v>1434</v>
      </c>
      <c r="H16" s="910" t="s">
        <v>1432</v>
      </c>
      <c r="I16" s="911" t="s">
        <v>1424</v>
      </c>
      <c r="J16" s="911" t="s">
        <v>1407</v>
      </c>
      <c r="K16" s="879">
        <v>1</v>
      </c>
      <c r="L16" s="878">
        <v>12</v>
      </c>
      <c r="M16" s="880">
        <v>36300</v>
      </c>
      <c r="N16" s="879">
        <v>1</v>
      </c>
      <c r="O16" s="878">
        <v>6</v>
      </c>
      <c r="P16" s="880">
        <v>18000</v>
      </c>
    </row>
    <row r="17" spans="1:17" ht="18" customHeight="1">
      <c r="A17" s="924" t="s">
        <v>2732</v>
      </c>
      <c r="B17" s="908" t="s">
        <v>1402</v>
      </c>
      <c r="C17" s="908" t="s">
        <v>96</v>
      </c>
      <c r="D17" s="910" t="s">
        <v>1435</v>
      </c>
      <c r="E17" s="917">
        <v>6000</v>
      </c>
      <c r="F17" s="908">
        <v>71950775</v>
      </c>
      <c r="G17" s="910" t="s">
        <v>1436</v>
      </c>
      <c r="H17" s="910" t="s">
        <v>1437</v>
      </c>
      <c r="I17" s="911" t="s">
        <v>1420</v>
      </c>
      <c r="J17" s="911" t="s">
        <v>1420</v>
      </c>
      <c r="K17" s="879">
        <v>1</v>
      </c>
      <c r="L17" s="878">
        <v>5</v>
      </c>
      <c r="M17" s="880">
        <v>27800</v>
      </c>
      <c r="N17" s="879">
        <v>1</v>
      </c>
      <c r="O17" s="878">
        <v>6</v>
      </c>
      <c r="P17" s="880">
        <v>35800</v>
      </c>
    </row>
    <row r="18" spans="1:17" ht="24">
      <c r="A18" s="924" t="s">
        <v>2732</v>
      </c>
      <c r="B18" s="908" t="s">
        <v>1402</v>
      </c>
      <c r="C18" s="908" t="s">
        <v>96</v>
      </c>
      <c r="D18" s="910" t="s">
        <v>1438</v>
      </c>
      <c r="E18" s="917">
        <v>15600</v>
      </c>
      <c r="F18" s="908">
        <v>41164085</v>
      </c>
      <c r="G18" s="910" t="s">
        <v>1439</v>
      </c>
      <c r="H18" s="910" t="s">
        <v>1417</v>
      </c>
      <c r="I18" s="911" t="s">
        <v>1420</v>
      </c>
      <c r="J18" s="911" t="s">
        <v>1411</v>
      </c>
      <c r="K18" s="879">
        <v>1</v>
      </c>
      <c r="L18" s="878">
        <v>6</v>
      </c>
      <c r="M18" s="880">
        <v>89960</v>
      </c>
      <c r="N18" s="879">
        <v>0</v>
      </c>
      <c r="O18" s="878" t="s">
        <v>2731</v>
      </c>
      <c r="P18" s="880">
        <v>0</v>
      </c>
      <c r="Q18" s="824"/>
    </row>
    <row r="19" spans="1:17" ht="18" customHeight="1">
      <c r="A19" s="924" t="s">
        <v>2732</v>
      </c>
      <c r="B19" s="908" t="s">
        <v>1402</v>
      </c>
      <c r="C19" s="908" t="s">
        <v>96</v>
      </c>
      <c r="D19" s="910" t="s">
        <v>1440</v>
      </c>
      <c r="E19" s="917">
        <v>6500</v>
      </c>
      <c r="F19" s="908">
        <v>43694779</v>
      </c>
      <c r="G19" s="910" t="s">
        <v>1441</v>
      </c>
      <c r="H19" s="910" t="s">
        <v>1442</v>
      </c>
      <c r="I19" s="911" t="s">
        <v>1406</v>
      </c>
      <c r="J19" s="911" t="s">
        <v>1420</v>
      </c>
      <c r="K19" s="879">
        <v>1</v>
      </c>
      <c r="L19" s="878">
        <v>2</v>
      </c>
      <c r="M19" s="880">
        <v>10183.33</v>
      </c>
      <c r="N19" s="879">
        <v>1</v>
      </c>
      <c r="O19" s="878">
        <v>6</v>
      </c>
      <c r="P19" s="880">
        <v>39000</v>
      </c>
      <c r="Q19" s="824"/>
    </row>
    <row r="20" spans="1:17" ht="18" customHeight="1">
      <c r="A20" s="924" t="s">
        <v>2732</v>
      </c>
      <c r="B20" s="908" t="s">
        <v>1402</v>
      </c>
      <c r="C20" s="908" t="s">
        <v>96</v>
      </c>
      <c r="D20" s="910" t="s">
        <v>1443</v>
      </c>
      <c r="E20" s="917">
        <v>6000</v>
      </c>
      <c r="F20" s="908">
        <v>70790295</v>
      </c>
      <c r="G20" s="910" t="s">
        <v>1444</v>
      </c>
      <c r="H20" s="910" t="s">
        <v>1445</v>
      </c>
      <c r="I20" s="911" t="s">
        <v>1406</v>
      </c>
      <c r="J20" s="911" t="s">
        <v>1420</v>
      </c>
      <c r="K20" s="879">
        <v>1</v>
      </c>
      <c r="L20" s="878">
        <v>2</v>
      </c>
      <c r="M20" s="880">
        <v>14000</v>
      </c>
      <c r="N20" s="879">
        <v>1</v>
      </c>
      <c r="O20" s="878">
        <v>1</v>
      </c>
      <c r="P20" s="880">
        <v>6000</v>
      </c>
      <c r="Q20" s="824"/>
    </row>
    <row r="21" spans="1:17" ht="24">
      <c r="A21" s="924" t="s">
        <v>2732</v>
      </c>
      <c r="B21" s="908" t="s">
        <v>1402</v>
      </c>
      <c r="C21" s="908" t="s">
        <v>96</v>
      </c>
      <c r="D21" s="910" t="s">
        <v>1446</v>
      </c>
      <c r="E21" s="917">
        <v>7500</v>
      </c>
      <c r="F21" s="908">
        <v>7887000</v>
      </c>
      <c r="G21" s="910" t="s">
        <v>1447</v>
      </c>
      <c r="H21" s="910" t="s">
        <v>1448</v>
      </c>
      <c r="I21" s="911" t="s">
        <v>1406</v>
      </c>
      <c r="J21" s="911" t="s">
        <v>1411</v>
      </c>
      <c r="K21" s="879">
        <v>1</v>
      </c>
      <c r="L21" s="878">
        <v>12</v>
      </c>
      <c r="M21" s="880">
        <v>90300</v>
      </c>
      <c r="N21" s="879">
        <v>1</v>
      </c>
      <c r="O21" s="878">
        <v>6</v>
      </c>
      <c r="P21" s="880">
        <v>45000</v>
      </c>
      <c r="Q21" s="824"/>
    </row>
    <row r="22" spans="1:17" ht="18" customHeight="1">
      <c r="A22" s="924" t="s">
        <v>2732</v>
      </c>
      <c r="B22" s="908" t="s">
        <v>1402</v>
      </c>
      <c r="C22" s="908" t="s">
        <v>96</v>
      </c>
      <c r="D22" s="910" t="s">
        <v>1449</v>
      </c>
      <c r="E22" s="917">
        <v>3000</v>
      </c>
      <c r="F22" s="908">
        <v>6961527</v>
      </c>
      <c r="G22" s="910" t="s">
        <v>1450</v>
      </c>
      <c r="H22" s="910" t="s">
        <v>1451</v>
      </c>
      <c r="I22" s="911" t="s">
        <v>1452</v>
      </c>
      <c r="J22" s="911" t="s">
        <v>1451</v>
      </c>
      <c r="K22" s="879">
        <v>1</v>
      </c>
      <c r="L22" s="878">
        <v>12</v>
      </c>
      <c r="M22" s="880">
        <v>36300</v>
      </c>
      <c r="N22" s="879">
        <v>1</v>
      </c>
      <c r="O22" s="878">
        <v>6</v>
      </c>
      <c r="P22" s="880">
        <v>18000</v>
      </c>
      <c r="Q22" s="824"/>
    </row>
    <row r="23" spans="1:17" ht="18" customHeight="1">
      <c r="A23" s="924" t="s">
        <v>2732</v>
      </c>
      <c r="B23" s="908" t="s">
        <v>1402</v>
      </c>
      <c r="C23" s="908" t="s">
        <v>96</v>
      </c>
      <c r="D23" s="910" t="s">
        <v>1453</v>
      </c>
      <c r="E23" s="917">
        <v>5000</v>
      </c>
      <c r="F23" s="908">
        <v>9950098</v>
      </c>
      <c r="G23" s="910" t="s">
        <v>1454</v>
      </c>
      <c r="H23" s="910" t="s">
        <v>1455</v>
      </c>
      <c r="I23" s="911" t="s">
        <v>1420</v>
      </c>
      <c r="J23" s="911" t="s">
        <v>1411</v>
      </c>
      <c r="K23" s="879">
        <v>1</v>
      </c>
      <c r="L23" s="878">
        <v>2</v>
      </c>
      <c r="M23" s="880">
        <v>5833.3</v>
      </c>
      <c r="N23" s="879">
        <v>0</v>
      </c>
      <c r="O23" s="878" t="s">
        <v>2731</v>
      </c>
      <c r="P23" s="880">
        <v>0</v>
      </c>
    </row>
    <row r="24" spans="1:17" ht="18" customHeight="1">
      <c r="A24" s="924" t="s">
        <v>2732</v>
      </c>
      <c r="B24" s="908" t="s">
        <v>1402</v>
      </c>
      <c r="C24" s="908" t="s">
        <v>96</v>
      </c>
      <c r="D24" s="910" t="s">
        <v>1456</v>
      </c>
      <c r="E24" s="917">
        <v>8000</v>
      </c>
      <c r="F24" s="908">
        <v>40240666</v>
      </c>
      <c r="G24" s="910" t="s">
        <v>1457</v>
      </c>
      <c r="H24" s="910" t="s">
        <v>1458</v>
      </c>
      <c r="I24" s="911" t="s">
        <v>1420</v>
      </c>
      <c r="J24" s="911" t="s">
        <v>1411</v>
      </c>
      <c r="K24" s="879">
        <v>1</v>
      </c>
      <c r="L24" s="878">
        <v>10</v>
      </c>
      <c r="M24" s="880">
        <v>83657.69</v>
      </c>
      <c r="N24" s="879">
        <v>1</v>
      </c>
      <c r="O24" s="878">
        <v>6</v>
      </c>
      <c r="P24" s="880">
        <v>48000</v>
      </c>
    </row>
    <row r="25" spans="1:17" ht="24">
      <c r="A25" s="924" t="s">
        <v>2732</v>
      </c>
      <c r="B25" s="908" t="s">
        <v>1402</v>
      </c>
      <c r="C25" s="908" t="s">
        <v>96</v>
      </c>
      <c r="D25" s="910" t="s">
        <v>1459</v>
      </c>
      <c r="E25" s="917">
        <v>7000</v>
      </c>
      <c r="F25" s="908">
        <v>46856196</v>
      </c>
      <c r="G25" s="910" t="s">
        <v>1460</v>
      </c>
      <c r="H25" s="910" t="s">
        <v>1461</v>
      </c>
      <c r="I25" s="911" t="s">
        <v>1406</v>
      </c>
      <c r="J25" s="911" t="s">
        <v>1411</v>
      </c>
      <c r="K25" s="879">
        <v>1</v>
      </c>
      <c r="L25" s="878">
        <v>6</v>
      </c>
      <c r="M25" s="880">
        <v>40366.67</v>
      </c>
      <c r="N25" s="879">
        <v>1</v>
      </c>
      <c r="O25" s="878">
        <v>6</v>
      </c>
      <c r="P25" s="880">
        <v>42000</v>
      </c>
    </row>
    <row r="26" spans="1:17" ht="18" customHeight="1">
      <c r="A26" s="924" t="s">
        <v>2732</v>
      </c>
      <c r="B26" s="908" t="s">
        <v>1402</v>
      </c>
      <c r="C26" s="908" t="s">
        <v>96</v>
      </c>
      <c r="D26" s="910" t="s">
        <v>1462</v>
      </c>
      <c r="E26" s="917">
        <v>2500</v>
      </c>
      <c r="F26" s="908">
        <v>10693947</v>
      </c>
      <c r="G26" s="910" t="s">
        <v>1463</v>
      </c>
      <c r="H26" s="910" t="s">
        <v>1451</v>
      </c>
      <c r="I26" s="911" t="s">
        <v>1452</v>
      </c>
      <c r="J26" s="911" t="s">
        <v>1451</v>
      </c>
      <c r="K26" s="879">
        <v>1</v>
      </c>
      <c r="L26" s="878">
        <v>12</v>
      </c>
      <c r="M26" s="880">
        <v>30300</v>
      </c>
      <c r="N26" s="879">
        <v>1</v>
      </c>
      <c r="O26" s="878">
        <v>6</v>
      </c>
      <c r="P26" s="880">
        <v>15000</v>
      </c>
    </row>
    <row r="27" spans="1:17" ht="18" customHeight="1">
      <c r="A27" s="924" t="s">
        <v>2732</v>
      </c>
      <c r="B27" s="908" t="s">
        <v>1402</v>
      </c>
      <c r="C27" s="908" t="s">
        <v>96</v>
      </c>
      <c r="D27" s="910" t="s">
        <v>1464</v>
      </c>
      <c r="E27" s="917">
        <v>4500</v>
      </c>
      <c r="F27" s="908">
        <v>25832724</v>
      </c>
      <c r="G27" s="910" t="s">
        <v>1465</v>
      </c>
      <c r="H27" s="910" t="s">
        <v>1432</v>
      </c>
      <c r="I27" s="911" t="s">
        <v>1424</v>
      </c>
      <c r="J27" s="911" t="s">
        <v>1407</v>
      </c>
      <c r="K27" s="879">
        <v>1</v>
      </c>
      <c r="L27" s="878">
        <v>12</v>
      </c>
      <c r="M27" s="880">
        <v>54136.869999999995</v>
      </c>
      <c r="N27" s="879">
        <v>1</v>
      </c>
      <c r="O27" s="878">
        <v>6</v>
      </c>
      <c r="P27" s="880">
        <v>27000</v>
      </c>
    </row>
    <row r="28" spans="1:17" ht="24">
      <c r="A28" s="924" t="s">
        <v>2732</v>
      </c>
      <c r="B28" s="908" t="s">
        <v>1402</v>
      </c>
      <c r="C28" s="908" t="s">
        <v>96</v>
      </c>
      <c r="D28" s="910" t="s">
        <v>1466</v>
      </c>
      <c r="E28" s="917">
        <v>10000</v>
      </c>
      <c r="F28" s="908">
        <v>10439116</v>
      </c>
      <c r="G28" s="910" t="s">
        <v>1467</v>
      </c>
      <c r="H28" s="910" t="s">
        <v>1468</v>
      </c>
      <c r="I28" s="911" t="s">
        <v>1420</v>
      </c>
      <c r="J28" s="911" t="s">
        <v>1411</v>
      </c>
      <c r="K28" s="879">
        <v>1</v>
      </c>
      <c r="L28" s="878">
        <v>10</v>
      </c>
      <c r="M28" s="880">
        <v>107266.6</v>
      </c>
      <c r="N28" s="879">
        <v>1</v>
      </c>
      <c r="O28" s="878">
        <v>6</v>
      </c>
      <c r="P28" s="880">
        <v>60000</v>
      </c>
    </row>
    <row r="29" spans="1:17" ht="18" customHeight="1">
      <c r="A29" s="924" t="s">
        <v>2732</v>
      </c>
      <c r="B29" s="908" t="s">
        <v>1402</v>
      </c>
      <c r="C29" s="908" t="s">
        <v>96</v>
      </c>
      <c r="D29" s="910" t="s">
        <v>1469</v>
      </c>
      <c r="E29" s="917">
        <v>12000</v>
      </c>
      <c r="F29" s="908">
        <v>29608247</v>
      </c>
      <c r="G29" s="910" t="s">
        <v>1470</v>
      </c>
      <c r="H29" s="910" t="s">
        <v>1471</v>
      </c>
      <c r="I29" s="911" t="s">
        <v>1406</v>
      </c>
      <c r="J29" s="911" t="s">
        <v>1411</v>
      </c>
      <c r="K29" s="879">
        <v>1</v>
      </c>
      <c r="L29" s="878">
        <v>6</v>
      </c>
      <c r="M29" s="880">
        <v>69400</v>
      </c>
      <c r="N29" s="879">
        <v>1</v>
      </c>
      <c r="O29" s="878">
        <v>6</v>
      </c>
      <c r="P29" s="880">
        <v>72200</v>
      </c>
    </row>
    <row r="30" spans="1:17" ht="18" customHeight="1">
      <c r="A30" s="924" t="s">
        <v>2732</v>
      </c>
      <c r="B30" s="908" t="s">
        <v>1402</v>
      </c>
      <c r="C30" s="908" t="s">
        <v>96</v>
      </c>
      <c r="D30" s="910" t="s">
        <v>1472</v>
      </c>
      <c r="E30" s="917">
        <v>4000</v>
      </c>
      <c r="F30" s="908">
        <v>48255181</v>
      </c>
      <c r="G30" s="910" t="s">
        <v>1473</v>
      </c>
      <c r="H30" s="910" t="s">
        <v>1474</v>
      </c>
      <c r="I30" s="911" t="s">
        <v>1420</v>
      </c>
      <c r="J30" s="911" t="s">
        <v>1411</v>
      </c>
      <c r="K30" s="879">
        <v>1</v>
      </c>
      <c r="L30" s="878">
        <v>2</v>
      </c>
      <c r="M30" s="880">
        <v>9333.33</v>
      </c>
      <c r="N30" s="879">
        <v>1</v>
      </c>
      <c r="O30" s="878">
        <v>3</v>
      </c>
      <c r="P30" s="880">
        <v>12000</v>
      </c>
    </row>
    <row r="31" spans="1:17" ht="18" customHeight="1">
      <c r="A31" s="924" t="s">
        <v>2732</v>
      </c>
      <c r="B31" s="908" t="s">
        <v>1402</v>
      </c>
      <c r="C31" s="908" t="s">
        <v>96</v>
      </c>
      <c r="D31" s="910" t="s">
        <v>1475</v>
      </c>
      <c r="E31" s="917">
        <v>4000</v>
      </c>
      <c r="F31" s="908">
        <v>7836126</v>
      </c>
      <c r="G31" s="910" t="s">
        <v>1476</v>
      </c>
      <c r="H31" s="910" t="s">
        <v>1477</v>
      </c>
      <c r="I31" s="911" t="s">
        <v>1406</v>
      </c>
      <c r="J31" s="911" t="s">
        <v>1407</v>
      </c>
      <c r="K31" s="879">
        <v>1</v>
      </c>
      <c r="L31" s="878">
        <v>12</v>
      </c>
      <c r="M31" s="880">
        <v>48287.5</v>
      </c>
      <c r="N31" s="879">
        <v>1</v>
      </c>
      <c r="O31" s="878">
        <v>6</v>
      </c>
      <c r="P31" s="880">
        <v>24000</v>
      </c>
    </row>
    <row r="32" spans="1:17" ht="18" customHeight="1">
      <c r="A32" s="924" t="s">
        <v>2732</v>
      </c>
      <c r="B32" s="908" t="s">
        <v>1402</v>
      </c>
      <c r="C32" s="908" t="s">
        <v>96</v>
      </c>
      <c r="D32" s="910" t="s">
        <v>1478</v>
      </c>
      <c r="E32" s="917">
        <v>4000</v>
      </c>
      <c r="F32" s="908">
        <v>40278566</v>
      </c>
      <c r="G32" s="910" t="s">
        <v>1479</v>
      </c>
      <c r="H32" s="910" t="s">
        <v>1432</v>
      </c>
      <c r="I32" s="911" t="s">
        <v>1480</v>
      </c>
      <c r="J32" s="911" t="s">
        <v>1407</v>
      </c>
      <c r="K32" s="879">
        <v>1</v>
      </c>
      <c r="L32" s="878">
        <v>3</v>
      </c>
      <c r="M32" s="880">
        <v>14933.33</v>
      </c>
      <c r="N32" s="879">
        <v>1</v>
      </c>
      <c r="O32" s="878">
        <v>1</v>
      </c>
      <c r="P32" s="880">
        <v>4000</v>
      </c>
    </row>
    <row r="33" spans="1:16" ht="18" customHeight="1">
      <c r="A33" s="924" t="s">
        <v>2732</v>
      </c>
      <c r="B33" s="908" t="s">
        <v>1402</v>
      </c>
      <c r="C33" s="908" t="s">
        <v>96</v>
      </c>
      <c r="D33" s="910" t="s">
        <v>1481</v>
      </c>
      <c r="E33" s="917">
        <v>8000</v>
      </c>
      <c r="F33" s="908">
        <v>41772237</v>
      </c>
      <c r="G33" s="910" t="s">
        <v>1482</v>
      </c>
      <c r="H33" s="910" t="s">
        <v>1483</v>
      </c>
      <c r="I33" s="911" t="s">
        <v>1406</v>
      </c>
      <c r="J33" s="911" t="s">
        <v>1420</v>
      </c>
      <c r="K33" s="879">
        <v>0</v>
      </c>
      <c r="L33" s="878" t="s">
        <v>2731</v>
      </c>
      <c r="M33" s="880">
        <v>0</v>
      </c>
      <c r="N33" s="879">
        <v>1</v>
      </c>
      <c r="O33" s="878">
        <v>4</v>
      </c>
      <c r="P33" s="880">
        <v>32000</v>
      </c>
    </row>
    <row r="34" spans="1:16" ht="24">
      <c r="A34" s="924" t="s">
        <v>2732</v>
      </c>
      <c r="B34" s="908" t="s">
        <v>1402</v>
      </c>
      <c r="C34" s="908" t="s">
        <v>96</v>
      </c>
      <c r="D34" s="910" t="s">
        <v>1484</v>
      </c>
      <c r="E34" s="917">
        <v>3500</v>
      </c>
      <c r="F34" s="908">
        <v>9956541</v>
      </c>
      <c r="G34" s="910" t="s">
        <v>1485</v>
      </c>
      <c r="H34" s="910" t="s">
        <v>1477</v>
      </c>
      <c r="I34" s="911" t="s">
        <v>1480</v>
      </c>
      <c r="J34" s="911" t="s">
        <v>1407</v>
      </c>
      <c r="K34" s="879">
        <v>1</v>
      </c>
      <c r="L34" s="878">
        <v>12</v>
      </c>
      <c r="M34" s="880">
        <v>42300</v>
      </c>
      <c r="N34" s="879">
        <v>1</v>
      </c>
      <c r="O34" s="878">
        <v>6</v>
      </c>
      <c r="P34" s="880">
        <v>20883.330000000002</v>
      </c>
    </row>
    <row r="35" spans="1:16" ht="18" customHeight="1">
      <c r="A35" s="924" t="s">
        <v>2732</v>
      </c>
      <c r="B35" s="908" t="s">
        <v>1402</v>
      </c>
      <c r="C35" s="908" t="s">
        <v>96</v>
      </c>
      <c r="D35" s="910" t="s">
        <v>1486</v>
      </c>
      <c r="E35" s="917">
        <v>6000</v>
      </c>
      <c r="F35" s="908">
        <v>71041907</v>
      </c>
      <c r="G35" s="910" t="s">
        <v>1487</v>
      </c>
      <c r="H35" s="910" t="s">
        <v>1488</v>
      </c>
      <c r="I35" s="911" t="s">
        <v>1406</v>
      </c>
      <c r="J35" s="911" t="s">
        <v>1411</v>
      </c>
      <c r="K35" s="879">
        <v>1</v>
      </c>
      <c r="L35" s="878">
        <v>12</v>
      </c>
      <c r="M35" s="880">
        <v>72300</v>
      </c>
      <c r="N35" s="879">
        <v>1</v>
      </c>
      <c r="O35" s="878">
        <v>2</v>
      </c>
      <c r="P35" s="880">
        <v>7200</v>
      </c>
    </row>
    <row r="36" spans="1:16" ht="24">
      <c r="A36" s="924" t="s">
        <v>2732</v>
      </c>
      <c r="B36" s="908" t="s">
        <v>1402</v>
      </c>
      <c r="C36" s="908" t="s">
        <v>96</v>
      </c>
      <c r="D36" s="910" t="s">
        <v>1489</v>
      </c>
      <c r="E36" s="917">
        <v>7000</v>
      </c>
      <c r="F36" s="908">
        <v>9834527</v>
      </c>
      <c r="G36" s="910" t="s">
        <v>1490</v>
      </c>
      <c r="H36" s="910" t="s">
        <v>1491</v>
      </c>
      <c r="I36" s="911" t="s">
        <v>1420</v>
      </c>
      <c r="J36" s="911" t="s">
        <v>1411</v>
      </c>
      <c r="K36" s="879">
        <v>1</v>
      </c>
      <c r="L36" s="878">
        <v>12</v>
      </c>
      <c r="M36" s="880">
        <v>76840.009999999995</v>
      </c>
      <c r="N36" s="879">
        <v>1</v>
      </c>
      <c r="O36" s="878">
        <v>6</v>
      </c>
      <c r="P36" s="880">
        <v>42000</v>
      </c>
    </row>
    <row r="37" spans="1:16" ht="18" customHeight="1">
      <c r="A37" s="924" t="s">
        <v>2732</v>
      </c>
      <c r="B37" s="908" t="s">
        <v>1402</v>
      </c>
      <c r="C37" s="908" t="s">
        <v>96</v>
      </c>
      <c r="D37" s="910" t="s">
        <v>1492</v>
      </c>
      <c r="E37" s="917">
        <v>8000</v>
      </c>
      <c r="F37" s="908">
        <v>9957133</v>
      </c>
      <c r="G37" s="910" t="s">
        <v>1493</v>
      </c>
      <c r="H37" s="910" t="s">
        <v>1491</v>
      </c>
      <c r="I37" s="911" t="s">
        <v>1406</v>
      </c>
      <c r="J37" s="911" t="s">
        <v>1411</v>
      </c>
      <c r="K37" s="879">
        <v>1</v>
      </c>
      <c r="L37" s="878">
        <v>12</v>
      </c>
      <c r="M37" s="880">
        <v>96045.15</v>
      </c>
      <c r="N37" s="879">
        <v>1</v>
      </c>
      <c r="O37" s="878">
        <v>6</v>
      </c>
      <c r="P37" s="880">
        <v>47733.33</v>
      </c>
    </row>
    <row r="38" spans="1:16" ht="24">
      <c r="A38" s="924" t="s">
        <v>2732</v>
      </c>
      <c r="B38" s="908" t="s">
        <v>1402</v>
      </c>
      <c r="C38" s="908" t="s">
        <v>96</v>
      </c>
      <c r="D38" s="910" t="s">
        <v>1494</v>
      </c>
      <c r="E38" s="917">
        <v>8000</v>
      </c>
      <c r="F38" s="908">
        <v>31679110</v>
      </c>
      <c r="G38" s="910" t="s">
        <v>1495</v>
      </c>
      <c r="H38" s="910" t="s">
        <v>1461</v>
      </c>
      <c r="I38" s="911" t="s">
        <v>1406</v>
      </c>
      <c r="J38" s="911" t="s">
        <v>1411</v>
      </c>
      <c r="K38" s="879">
        <v>1</v>
      </c>
      <c r="L38" s="878">
        <v>12</v>
      </c>
      <c r="M38" s="880">
        <v>88141.11</v>
      </c>
      <c r="N38" s="879">
        <v>1</v>
      </c>
      <c r="O38" s="878">
        <v>6</v>
      </c>
      <c r="P38" s="880">
        <v>47733.33</v>
      </c>
    </row>
    <row r="39" spans="1:16" ht="18" customHeight="1">
      <c r="A39" s="924" t="s">
        <v>2732</v>
      </c>
      <c r="B39" s="908" t="s">
        <v>1402</v>
      </c>
      <c r="C39" s="908" t="s">
        <v>96</v>
      </c>
      <c r="D39" s="910" t="s">
        <v>1496</v>
      </c>
      <c r="E39" s="917">
        <v>6000</v>
      </c>
      <c r="F39" s="908">
        <v>46676553</v>
      </c>
      <c r="G39" s="910" t="s">
        <v>1497</v>
      </c>
      <c r="H39" s="910" t="s">
        <v>1410</v>
      </c>
      <c r="I39" s="911" t="s">
        <v>1406</v>
      </c>
      <c r="J39" s="911" t="s">
        <v>1411</v>
      </c>
      <c r="K39" s="879">
        <v>1</v>
      </c>
      <c r="L39" s="878">
        <v>8</v>
      </c>
      <c r="M39" s="880">
        <v>48100</v>
      </c>
      <c r="N39" s="879">
        <v>0</v>
      </c>
      <c r="O39" s="878" t="s">
        <v>2731</v>
      </c>
      <c r="P39" s="880">
        <v>0</v>
      </c>
    </row>
    <row r="40" spans="1:16" ht="24">
      <c r="A40" s="924" t="s">
        <v>2732</v>
      </c>
      <c r="B40" s="908" t="s">
        <v>1402</v>
      </c>
      <c r="C40" s="908" t="s">
        <v>96</v>
      </c>
      <c r="D40" s="910" t="s">
        <v>1498</v>
      </c>
      <c r="E40" s="917">
        <v>15600</v>
      </c>
      <c r="F40" s="908">
        <v>6780501</v>
      </c>
      <c r="G40" s="910" t="s">
        <v>1499</v>
      </c>
      <c r="H40" s="910" t="s">
        <v>1423</v>
      </c>
      <c r="I40" s="911" t="s">
        <v>1406</v>
      </c>
      <c r="J40" s="911" t="s">
        <v>1411</v>
      </c>
      <c r="K40" s="879">
        <v>0</v>
      </c>
      <c r="L40" s="878" t="s">
        <v>2731</v>
      </c>
      <c r="M40" s="880">
        <v>0</v>
      </c>
      <c r="N40" s="879">
        <v>1</v>
      </c>
      <c r="O40" s="878">
        <v>3</v>
      </c>
      <c r="P40" s="880">
        <v>37440</v>
      </c>
    </row>
    <row r="41" spans="1:16" ht="18" customHeight="1">
      <c r="A41" s="924" t="s">
        <v>2732</v>
      </c>
      <c r="B41" s="908" t="s">
        <v>1402</v>
      </c>
      <c r="C41" s="908" t="s">
        <v>96</v>
      </c>
      <c r="D41" s="910" t="s">
        <v>1500</v>
      </c>
      <c r="E41" s="917">
        <v>4000</v>
      </c>
      <c r="F41" s="908">
        <v>46630457</v>
      </c>
      <c r="G41" s="910" t="s">
        <v>1501</v>
      </c>
      <c r="H41" s="910" t="s">
        <v>1471</v>
      </c>
      <c r="I41" s="911" t="s">
        <v>1420</v>
      </c>
      <c r="J41" s="911" t="s">
        <v>1420</v>
      </c>
      <c r="K41" s="879">
        <v>1</v>
      </c>
      <c r="L41" s="878">
        <v>6</v>
      </c>
      <c r="M41" s="880">
        <v>23066.67</v>
      </c>
      <c r="N41" s="879">
        <v>1</v>
      </c>
      <c r="O41" s="878">
        <v>6</v>
      </c>
      <c r="P41" s="880">
        <v>24000</v>
      </c>
    </row>
    <row r="42" spans="1:16" ht="18" customHeight="1">
      <c r="A42" s="924" t="s">
        <v>2732</v>
      </c>
      <c r="B42" s="908" t="s">
        <v>1402</v>
      </c>
      <c r="C42" s="908" t="s">
        <v>96</v>
      </c>
      <c r="D42" s="910" t="s">
        <v>1502</v>
      </c>
      <c r="E42" s="917">
        <v>8000</v>
      </c>
      <c r="F42" s="908">
        <v>25660291</v>
      </c>
      <c r="G42" s="910" t="s">
        <v>1503</v>
      </c>
      <c r="H42" s="910" t="s">
        <v>1504</v>
      </c>
      <c r="I42" s="911" t="s">
        <v>1406</v>
      </c>
      <c r="J42" s="911" t="s">
        <v>1411</v>
      </c>
      <c r="K42" s="879">
        <v>1</v>
      </c>
      <c r="L42" s="878">
        <v>12</v>
      </c>
      <c r="M42" s="880">
        <v>91983.33</v>
      </c>
      <c r="N42" s="879">
        <v>1</v>
      </c>
      <c r="O42" s="878">
        <v>6</v>
      </c>
      <c r="P42" s="880">
        <v>48000</v>
      </c>
    </row>
    <row r="43" spans="1:16" ht="24">
      <c r="A43" s="924" t="s">
        <v>2732</v>
      </c>
      <c r="B43" s="908" t="s">
        <v>1402</v>
      </c>
      <c r="C43" s="908" t="s">
        <v>96</v>
      </c>
      <c r="D43" s="910" t="s">
        <v>1505</v>
      </c>
      <c r="E43" s="917">
        <v>3300</v>
      </c>
      <c r="F43" s="908">
        <v>44910329</v>
      </c>
      <c r="G43" s="910" t="s">
        <v>1506</v>
      </c>
      <c r="H43" s="910" t="s">
        <v>1504</v>
      </c>
      <c r="I43" s="911" t="s">
        <v>1406</v>
      </c>
      <c r="J43" s="911" t="s">
        <v>1411</v>
      </c>
      <c r="K43" s="879">
        <v>1</v>
      </c>
      <c r="L43" s="878">
        <v>4</v>
      </c>
      <c r="M43" s="880">
        <v>12760</v>
      </c>
      <c r="N43" s="879">
        <v>1</v>
      </c>
      <c r="O43" s="878">
        <v>6</v>
      </c>
      <c r="P43" s="880">
        <v>19800</v>
      </c>
    </row>
    <row r="44" spans="1:16" ht="24">
      <c r="A44" s="924" t="s">
        <v>2732</v>
      </c>
      <c r="B44" s="908" t="s">
        <v>1402</v>
      </c>
      <c r="C44" s="908" t="s">
        <v>96</v>
      </c>
      <c r="D44" s="910" t="s">
        <v>1507</v>
      </c>
      <c r="E44" s="917">
        <v>3500</v>
      </c>
      <c r="F44" s="908">
        <v>43851149</v>
      </c>
      <c r="G44" s="910" t="s">
        <v>1508</v>
      </c>
      <c r="H44" s="910" t="s">
        <v>1509</v>
      </c>
      <c r="I44" s="911" t="s">
        <v>1406</v>
      </c>
      <c r="J44" s="911" t="s">
        <v>1411</v>
      </c>
      <c r="K44" s="879">
        <v>1</v>
      </c>
      <c r="L44" s="878">
        <v>12</v>
      </c>
      <c r="M44" s="880">
        <v>42300</v>
      </c>
      <c r="N44" s="879">
        <v>1</v>
      </c>
      <c r="O44" s="878">
        <v>6</v>
      </c>
      <c r="P44" s="880">
        <v>21000</v>
      </c>
    </row>
    <row r="45" spans="1:16" ht="24">
      <c r="A45" s="924" t="s">
        <v>2732</v>
      </c>
      <c r="B45" s="908" t="s">
        <v>1402</v>
      </c>
      <c r="C45" s="908" t="s">
        <v>96</v>
      </c>
      <c r="D45" s="910" t="s">
        <v>1510</v>
      </c>
      <c r="E45" s="917">
        <v>5000</v>
      </c>
      <c r="F45" s="908">
        <v>8238091</v>
      </c>
      <c r="G45" s="910" t="s">
        <v>1511</v>
      </c>
      <c r="H45" s="910" t="s">
        <v>1512</v>
      </c>
      <c r="I45" s="911" t="s">
        <v>1406</v>
      </c>
      <c r="J45" s="911" t="s">
        <v>1411</v>
      </c>
      <c r="K45" s="879">
        <v>1</v>
      </c>
      <c r="L45" s="878">
        <v>1</v>
      </c>
      <c r="M45" s="880">
        <v>332.32</v>
      </c>
      <c r="N45" s="879">
        <v>0</v>
      </c>
      <c r="O45" s="878" t="s">
        <v>2731</v>
      </c>
      <c r="P45" s="880">
        <v>0</v>
      </c>
    </row>
    <row r="46" spans="1:16" ht="24">
      <c r="A46" s="924" t="s">
        <v>2732</v>
      </c>
      <c r="B46" s="908" t="s">
        <v>1402</v>
      </c>
      <c r="C46" s="908" t="s">
        <v>96</v>
      </c>
      <c r="D46" s="910" t="s">
        <v>1513</v>
      </c>
      <c r="E46" s="917">
        <v>6000</v>
      </c>
      <c r="F46" s="908">
        <v>41897314</v>
      </c>
      <c r="G46" s="910" t="s">
        <v>1514</v>
      </c>
      <c r="H46" s="910" t="s">
        <v>1504</v>
      </c>
      <c r="I46" s="911" t="s">
        <v>1424</v>
      </c>
      <c r="J46" s="911" t="s">
        <v>1411</v>
      </c>
      <c r="K46" s="879">
        <v>1</v>
      </c>
      <c r="L46" s="878">
        <v>11</v>
      </c>
      <c r="M46" s="880">
        <v>48934.270000000004</v>
      </c>
      <c r="N46" s="879">
        <v>0</v>
      </c>
      <c r="O46" s="878" t="s">
        <v>2731</v>
      </c>
      <c r="P46" s="880">
        <v>0</v>
      </c>
    </row>
    <row r="47" spans="1:16" ht="18" customHeight="1">
      <c r="A47" s="924" t="s">
        <v>2732</v>
      </c>
      <c r="B47" s="908" t="s">
        <v>1402</v>
      </c>
      <c r="C47" s="908" t="s">
        <v>96</v>
      </c>
      <c r="D47" s="910" t="s">
        <v>1515</v>
      </c>
      <c r="E47" s="917">
        <v>7000</v>
      </c>
      <c r="F47" s="908">
        <v>7629828</v>
      </c>
      <c r="G47" s="910" t="s">
        <v>1516</v>
      </c>
      <c r="H47" s="910" t="s">
        <v>1458</v>
      </c>
      <c r="I47" s="911" t="s">
        <v>1420</v>
      </c>
      <c r="J47" s="911" t="s">
        <v>1411</v>
      </c>
      <c r="K47" s="879">
        <v>1</v>
      </c>
      <c r="L47" s="878">
        <v>9</v>
      </c>
      <c r="M47" s="880">
        <v>49766.65</v>
      </c>
      <c r="N47" s="879">
        <v>0</v>
      </c>
      <c r="O47" s="878" t="s">
        <v>2731</v>
      </c>
      <c r="P47" s="880">
        <v>0</v>
      </c>
    </row>
    <row r="48" spans="1:16" ht="18" customHeight="1">
      <c r="A48" s="924" t="s">
        <v>2732</v>
      </c>
      <c r="B48" s="908" t="s">
        <v>1402</v>
      </c>
      <c r="C48" s="908" t="s">
        <v>96</v>
      </c>
      <c r="D48" s="910" t="s">
        <v>1517</v>
      </c>
      <c r="E48" s="917">
        <v>5500</v>
      </c>
      <c r="F48" s="908">
        <v>44730199</v>
      </c>
      <c r="G48" s="910" t="s">
        <v>1518</v>
      </c>
      <c r="H48" s="910" t="s">
        <v>1519</v>
      </c>
      <c r="I48" s="911" t="s">
        <v>1406</v>
      </c>
      <c r="J48" s="911" t="s">
        <v>1411</v>
      </c>
      <c r="K48" s="879">
        <v>1</v>
      </c>
      <c r="L48" s="878">
        <v>12</v>
      </c>
      <c r="M48" s="880">
        <v>66300</v>
      </c>
      <c r="N48" s="879">
        <v>1</v>
      </c>
      <c r="O48" s="878">
        <v>6</v>
      </c>
      <c r="P48" s="880">
        <v>32816.67</v>
      </c>
    </row>
    <row r="49" spans="1:16" ht="18" customHeight="1">
      <c r="A49" s="924" t="s">
        <v>2732</v>
      </c>
      <c r="B49" s="908" t="s">
        <v>1402</v>
      </c>
      <c r="C49" s="908" t="s">
        <v>96</v>
      </c>
      <c r="D49" s="910" t="s">
        <v>1520</v>
      </c>
      <c r="E49" s="917">
        <v>15600</v>
      </c>
      <c r="F49" s="908">
        <v>23839186</v>
      </c>
      <c r="G49" s="910" t="s">
        <v>1521</v>
      </c>
      <c r="H49" s="910" t="s">
        <v>1442</v>
      </c>
      <c r="I49" s="911" t="s">
        <v>1406</v>
      </c>
      <c r="J49" s="911" t="s">
        <v>1411</v>
      </c>
      <c r="K49" s="879">
        <v>1</v>
      </c>
      <c r="L49" s="878">
        <v>12</v>
      </c>
      <c r="M49" s="880">
        <v>187500</v>
      </c>
      <c r="N49" s="879">
        <v>1</v>
      </c>
      <c r="O49" s="878">
        <v>6</v>
      </c>
      <c r="P49" s="880">
        <v>92040</v>
      </c>
    </row>
    <row r="50" spans="1:16" ht="18" customHeight="1">
      <c r="A50" s="924" t="s">
        <v>2732</v>
      </c>
      <c r="B50" s="908" t="s">
        <v>1402</v>
      </c>
      <c r="C50" s="908" t="s">
        <v>96</v>
      </c>
      <c r="D50" s="910" t="s">
        <v>1522</v>
      </c>
      <c r="E50" s="917">
        <v>3000</v>
      </c>
      <c r="F50" s="908">
        <v>9545720</v>
      </c>
      <c r="G50" s="910" t="s">
        <v>1523</v>
      </c>
      <c r="H50" s="910" t="s">
        <v>1524</v>
      </c>
      <c r="I50" s="911" t="s">
        <v>1406</v>
      </c>
      <c r="J50" s="911" t="s">
        <v>1407</v>
      </c>
      <c r="K50" s="879">
        <v>1</v>
      </c>
      <c r="L50" s="878">
        <v>12</v>
      </c>
      <c r="M50" s="880">
        <v>36300</v>
      </c>
      <c r="N50" s="879">
        <v>1</v>
      </c>
      <c r="O50" s="878">
        <v>6</v>
      </c>
      <c r="P50" s="880">
        <v>18000</v>
      </c>
    </row>
    <row r="51" spans="1:16" ht="18" customHeight="1">
      <c r="A51" s="924" t="s">
        <v>2732</v>
      </c>
      <c r="B51" s="908" t="s">
        <v>1402</v>
      </c>
      <c r="C51" s="908" t="s">
        <v>96</v>
      </c>
      <c r="D51" s="910" t="s">
        <v>1525</v>
      </c>
      <c r="E51" s="917">
        <v>12000</v>
      </c>
      <c r="F51" s="908">
        <v>40618423</v>
      </c>
      <c r="G51" s="910" t="s">
        <v>1526</v>
      </c>
      <c r="H51" s="910" t="s">
        <v>1527</v>
      </c>
      <c r="I51" s="911" t="s">
        <v>1406</v>
      </c>
      <c r="J51" s="911" t="s">
        <v>1411</v>
      </c>
      <c r="K51" s="879">
        <v>1</v>
      </c>
      <c r="L51" s="878">
        <v>1</v>
      </c>
      <c r="M51" s="880">
        <v>10400</v>
      </c>
      <c r="N51" s="879">
        <v>0</v>
      </c>
      <c r="O51" s="878" t="s">
        <v>2731</v>
      </c>
      <c r="P51" s="880">
        <v>0</v>
      </c>
    </row>
    <row r="52" spans="1:16" ht="18" customHeight="1">
      <c r="A52" s="924" t="s">
        <v>2732</v>
      </c>
      <c r="B52" s="908" t="s">
        <v>1402</v>
      </c>
      <c r="C52" s="908" t="s">
        <v>96</v>
      </c>
      <c r="D52" s="910" t="s">
        <v>1528</v>
      </c>
      <c r="E52" s="917">
        <v>8000</v>
      </c>
      <c r="F52" s="908">
        <v>42356510</v>
      </c>
      <c r="G52" s="910" t="s">
        <v>1529</v>
      </c>
      <c r="H52" s="910" t="s">
        <v>1519</v>
      </c>
      <c r="I52" s="911" t="s">
        <v>1420</v>
      </c>
      <c r="J52" s="911" t="s">
        <v>1411</v>
      </c>
      <c r="K52" s="879">
        <v>1</v>
      </c>
      <c r="L52" s="878">
        <v>10</v>
      </c>
      <c r="M52" s="880">
        <v>82700</v>
      </c>
      <c r="N52" s="879">
        <v>1</v>
      </c>
      <c r="O52" s="878">
        <v>6</v>
      </c>
      <c r="P52" s="880">
        <v>48000</v>
      </c>
    </row>
    <row r="53" spans="1:16" ht="18" customHeight="1">
      <c r="A53" s="924" t="s">
        <v>2732</v>
      </c>
      <c r="B53" s="908" t="s">
        <v>1402</v>
      </c>
      <c r="C53" s="908" t="s">
        <v>96</v>
      </c>
      <c r="D53" s="910" t="s">
        <v>1530</v>
      </c>
      <c r="E53" s="917">
        <v>1800</v>
      </c>
      <c r="F53" s="908">
        <v>73866783</v>
      </c>
      <c r="G53" s="910" t="s">
        <v>1531</v>
      </c>
      <c r="H53" s="910" t="s">
        <v>1432</v>
      </c>
      <c r="I53" s="911" t="s">
        <v>1480</v>
      </c>
      <c r="J53" s="911" t="s">
        <v>1532</v>
      </c>
      <c r="K53" s="879">
        <v>1</v>
      </c>
      <c r="L53" s="878">
        <v>6</v>
      </c>
      <c r="M53" s="880">
        <v>10380</v>
      </c>
      <c r="N53" s="879">
        <v>1</v>
      </c>
      <c r="O53" s="878">
        <v>6</v>
      </c>
      <c r="P53" s="880">
        <v>10740</v>
      </c>
    </row>
    <row r="54" spans="1:16" ht="18" customHeight="1">
      <c r="A54" s="924" t="s">
        <v>2732</v>
      </c>
      <c r="B54" s="908" t="s">
        <v>1402</v>
      </c>
      <c r="C54" s="908" t="s">
        <v>96</v>
      </c>
      <c r="D54" s="910" t="s">
        <v>1533</v>
      </c>
      <c r="E54" s="917">
        <v>7000</v>
      </c>
      <c r="F54" s="908">
        <v>40817639</v>
      </c>
      <c r="G54" s="910" t="s">
        <v>1534</v>
      </c>
      <c r="H54" s="910" t="s">
        <v>1410</v>
      </c>
      <c r="I54" s="911" t="s">
        <v>1420</v>
      </c>
      <c r="J54" s="911" t="s">
        <v>1411</v>
      </c>
      <c r="K54" s="879">
        <v>1</v>
      </c>
      <c r="L54" s="878">
        <v>12</v>
      </c>
      <c r="M54" s="880">
        <v>84265.97</v>
      </c>
      <c r="N54" s="879">
        <v>1</v>
      </c>
      <c r="O54" s="878">
        <v>6</v>
      </c>
      <c r="P54" s="880">
        <v>42000</v>
      </c>
    </row>
    <row r="55" spans="1:16" ht="24">
      <c r="A55" s="924" t="s">
        <v>2732</v>
      </c>
      <c r="B55" s="908" t="s">
        <v>1402</v>
      </c>
      <c r="C55" s="908" t="s">
        <v>96</v>
      </c>
      <c r="D55" s="910" t="s">
        <v>1535</v>
      </c>
      <c r="E55" s="917">
        <v>3200</v>
      </c>
      <c r="F55" s="908">
        <v>8596087</v>
      </c>
      <c r="G55" s="910" t="s">
        <v>1536</v>
      </c>
      <c r="H55" s="910" t="s">
        <v>1477</v>
      </c>
      <c r="I55" s="911" t="s">
        <v>1406</v>
      </c>
      <c r="J55" s="911" t="s">
        <v>1407</v>
      </c>
      <c r="K55" s="879">
        <v>1</v>
      </c>
      <c r="L55" s="878">
        <v>12</v>
      </c>
      <c r="M55" s="880">
        <v>38700</v>
      </c>
      <c r="N55" s="879">
        <v>1</v>
      </c>
      <c r="O55" s="878">
        <v>6</v>
      </c>
      <c r="P55" s="880">
        <v>19200</v>
      </c>
    </row>
    <row r="56" spans="1:16" ht="18" customHeight="1">
      <c r="A56" s="924" t="s">
        <v>2732</v>
      </c>
      <c r="B56" s="908" t="s">
        <v>1402</v>
      </c>
      <c r="C56" s="908" t="s">
        <v>96</v>
      </c>
      <c r="D56" s="910" t="s">
        <v>1537</v>
      </c>
      <c r="E56" s="917">
        <v>9000</v>
      </c>
      <c r="F56" s="908">
        <v>46063872</v>
      </c>
      <c r="G56" s="910" t="s">
        <v>1538</v>
      </c>
      <c r="H56" s="910" t="s">
        <v>1410</v>
      </c>
      <c r="I56" s="911" t="s">
        <v>1406</v>
      </c>
      <c r="J56" s="911" t="s">
        <v>1420</v>
      </c>
      <c r="K56" s="879">
        <v>0</v>
      </c>
      <c r="L56" s="878" t="s">
        <v>2731</v>
      </c>
      <c r="M56" s="880">
        <v>0</v>
      </c>
      <c r="N56" s="879">
        <v>1</v>
      </c>
      <c r="O56" s="878">
        <v>6</v>
      </c>
      <c r="P56" s="880">
        <v>55500</v>
      </c>
    </row>
    <row r="57" spans="1:16" ht="18" customHeight="1">
      <c r="A57" s="924" t="s">
        <v>2732</v>
      </c>
      <c r="B57" s="908" t="s">
        <v>1402</v>
      </c>
      <c r="C57" s="908" t="s">
        <v>96</v>
      </c>
      <c r="D57" s="910" t="s">
        <v>1539</v>
      </c>
      <c r="E57" s="917">
        <v>3500</v>
      </c>
      <c r="F57" s="908">
        <v>40364385</v>
      </c>
      <c r="G57" s="910" t="s">
        <v>1540</v>
      </c>
      <c r="H57" s="910" t="s">
        <v>1491</v>
      </c>
      <c r="I57" s="911" t="s">
        <v>1406</v>
      </c>
      <c r="J57" s="911" t="s">
        <v>1411</v>
      </c>
      <c r="K57" s="879">
        <v>1</v>
      </c>
      <c r="L57" s="878">
        <v>6</v>
      </c>
      <c r="M57" s="880">
        <v>20183.330000000002</v>
      </c>
      <c r="N57" s="879">
        <v>1</v>
      </c>
      <c r="O57" s="878">
        <v>6</v>
      </c>
      <c r="P57" s="880">
        <v>21000</v>
      </c>
    </row>
    <row r="58" spans="1:16" ht="18" customHeight="1">
      <c r="A58" s="924" t="s">
        <v>2732</v>
      </c>
      <c r="B58" s="908" t="s">
        <v>1402</v>
      </c>
      <c r="C58" s="908" t="s">
        <v>96</v>
      </c>
      <c r="D58" s="910" t="s">
        <v>1541</v>
      </c>
      <c r="E58" s="917">
        <v>8000</v>
      </c>
      <c r="F58" s="908">
        <v>43926311</v>
      </c>
      <c r="G58" s="910" t="s">
        <v>1542</v>
      </c>
      <c r="H58" s="910" t="s">
        <v>1410</v>
      </c>
      <c r="I58" s="911" t="s">
        <v>1420</v>
      </c>
      <c r="J58" s="911" t="s">
        <v>1411</v>
      </c>
      <c r="K58" s="879">
        <v>1</v>
      </c>
      <c r="L58" s="878">
        <v>12</v>
      </c>
      <c r="M58" s="880">
        <v>89141.11</v>
      </c>
      <c r="N58" s="879">
        <v>1</v>
      </c>
      <c r="O58" s="878">
        <v>6</v>
      </c>
      <c r="P58" s="880">
        <v>48000</v>
      </c>
    </row>
    <row r="59" spans="1:16" ht="18" customHeight="1">
      <c r="A59" s="924" t="s">
        <v>2732</v>
      </c>
      <c r="B59" s="908" t="s">
        <v>1402</v>
      </c>
      <c r="C59" s="908" t="s">
        <v>96</v>
      </c>
      <c r="D59" s="910" t="s">
        <v>1543</v>
      </c>
      <c r="E59" s="917">
        <v>3000</v>
      </c>
      <c r="F59" s="908">
        <v>48315680</v>
      </c>
      <c r="G59" s="910" t="s">
        <v>1544</v>
      </c>
      <c r="H59" s="910" t="s">
        <v>1414</v>
      </c>
      <c r="I59" s="911" t="s">
        <v>1480</v>
      </c>
      <c r="J59" s="911" t="s">
        <v>1532</v>
      </c>
      <c r="K59" s="879">
        <v>1</v>
      </c>
      <c r="L59" s="878">
        <v>4</v>
      </c>
      <c r="M59" s="880">
        <v>11600</v>
      </c>
      <c r="N59" s="879">
        <v>1</v>
      </c>
      <c r="O59" s="878">
        <v>6</v>
      </c>
      <c r="P59" s="880">
        <v>18000</v>
      </c>
    </row>
    <row r="60" spans="1:16" ht="24">
      <c r="A60" s="924" t="s">
        <v>2732</v>
      </c>
      <c r="B60" s="908" t="s">
        <v>1402</v>
      </c>
      <c r="C60" s="908" t="s">
        <v>96</v>
      </c>
      <c r="D60" s="910" t="s">
        <v>1545</v>
      </c>
      <c r="E60" s="917">
        <v>8000</v>
      </c>
      <c r="F60" s="908">
        <v>16730480</v>
      </c>
      <c r="G60" s="910" t="s">
        <v>1546</v>
      </c>
      <c r="H60" s="910" t="s">
        <v>1547</v>
      </c>
      <c r="I60" s="911" t="s">
        <v>1420</v>
      </c>
      <c r="J60" s="911" t="s">
        <v>1411</v>
      </c>
      <c r="K60" s="879">
        <v>1</v>
      </c>
      <c r="L60" s="878">
        <v>3</v>
      </c>
      <c r="M60" s="880">
        <v>24000</v>
      </c>
      <c r="N60" s="879">
        <v>0</v>
      </c>
      <c r="O60" s="878" t="s">
        <v>2731</v>
      </c>
      <c r="P60" s="880">
        <v>0</v>
      </c>
    </row>
    <row r="61" spans="1:16" ht="18" customHeight="1">
      <c r="A61" s="924" t="s">
        <v>2732</v>
      </c>
      <c r="B61" s="908" t="s">
        <v>1402</v>
      </c>
      <c r="C61" s="908" t="s">
        <v>96</v>
      </c>
      <c r="D61" s="910" t="s">
        <v>1548</v>
      </c>
      <c r="E61" s="917">
        <v>15600</v>
      </c>
      <c r="F61" s="908">
        <v>8274673</v>
      </c>
      <c r="G61" s="910" t="s">
        <v>1549</v>
      </c>
      <c r="H61" s="910" t="s">
        <v>1550</v>
      </c>
      <c r="I61" s="911" t="s">
        <v>1406</v>
      </c>
      <c r="J61" s="911" t="s">
        <v>1411</v>
      </c>
      <c r="K61" s="879">
        <v>1</v>
      </c>
      <c r="L61" s="878">
        <v>1</v>
      </c>
      <c r="M61" s="880">
        <v>20280</v>
      </c>
      <c r="N61" s="879">
        <v>0</v>
      </c>
      <c r="O61" s="878" t="s">
        <v>2731</v>
      </c>
      <c r="P61" s="880">
        <v>0</v>
      </c>
    </row>
    <row r="62" spans="1:16" ht="18" customHeight="1">
      <c r="A62" s="924" t="s">
        <v>2732</v>
      </c>
      <c r="B62" s="908" t="s">
        <v>1402</v>
      </c>
      <c r="C62" s="908" t="s">
        <v>96</v>
      </c>
      <c r="D62" s="910" t="s">
        <v>1533</v>
      </c>
      <c r="E62" s="917">
        <v>10500</v>
      </c>
      <c r="F62" s="908">
        <v>41676921</v>
      </c>
      <c r="G62" s="910" t="s">
        <v>1551</v>
      </c>
      <c r="H62" s="910" t="s">
        <v>1410</v>
      </c>
      <c r="I62" s="911" t="s">
        <v>1406</v>
      </c>
      <c r="J62" s="911" t="s">
        <v>1411</v>
      </c>
      <c r="K62" s="879">
        <v>1</v>
      </c>
      <c r="L62" s="878">
        <v>12</v>
      </c>
      <c r="M62" s="880">
        <v>126600</v>
      </c>
      <c r="N62" s="879">
        <v>1</v>
      </c>
      <c r="O62" s="878">
        <v>6</v>
      </c>
      <c r="P62" s="880">
        <v>63000</v>
      </c>
    </row>
    <row r="63" spans="1:16" ht="24">
      <c r="A63" s="924" t="s">
        <v>2732</v>
      </c>
      <c r="B63" s="908" t="s">
        <v>1402</v>
      </c>
      <c r="C63" s="908" t="s">
        <v>96</v>
      </c>
      <c r="D63" s="910" t="s">
        <v>1552</v>
      </c>
      <c r="E63" s="917">
        <v>15600</v>
      </c>
      <c r="F63" s="908">
        <v>2618637</v>
      </c>
      <c r="G63" s="910" t="s">
        <v>1553</v>
      </c>
      <c r="H63" s="910" t="s">
        <v>1471</v>
      </c>
      <c r="I63" s="911" t="s">
        <v>1406</v>
      </c>
      <c r="J63" s="911" t="s">
        <v>1411</v>
      </c>
      <c r="K63" s="879">
        <v>0</v>
      </c>
      <c r="L63" s="878" t="s">
        <v>2731</v>
      </c>
      <c r="M63" s="880">
        <v>0</v>
      </c>
      <c r="N63" s="879">
        <v>1</v>
      </c>
      <c r="O63" s="878">
        <v>4</v>
      </c>
      <c r="P63" s="880">
        <v>63440</v>
      </c>
    </row>
    <row r="64" spans="1:16" ht="18" customHeight="1">
      <c r="A64" s="924" t="s">
        <v>2732</v>
      </c>
      <c r="B64" s="908" t="s">
        <v>1402</v>
      </c>
      <c r="C64" s="908" t="s">
        <v>96</v>
      </c>
      <c r="D64" s="910" t="s">
        <v>1554</v>
      </c>
      <c r="E64" s="917">
        <v>3200</v>
      </c>
      <c r="F64" s="908">
        <v>6729452</v>
      </c>
      <c r="G64" s="910" t="s">
        <v>1555</v>
      </c>
      <c r="H64" s="910" t="s">
        <v>1556</v>
      </c>
      <c r="I64" s="911" t="s">
        <v>1480</v>
      </c>
      <c r="J64" s="911" t="s">
        <v>1407</v>
      </c>
      <c r="K64" s="879">
        <v>1</v>
      </c>
      <c r="L64" s="878">
        <v>12</v>
      </c>
      <c r="M64" s="880">
        <v>38700</v>
      </c>
      <c r="N64" s="879">
        <v>1</v>
      </c>
      <c r="O64" s="878">
        <v>6</v>
      </c>
      <c r="P64" s="880">
        <v>19200</v>
      </c>
    </row>
    <row r="65" spans="1:16" ht="24">
      <c r="A65" s="924" t="s">
        <v>2732</v>
      </c>
      <c r="B65" s="908" t="s">
        <v>1402</v>
      </c>
      <c r="C65" s="908" t="s">
        <v>96</v>
      </c>
      <c r="D65" s="910" t="s">
        <v>1557</v>
      </c>
      <c r="E65" s="917">
        <v>6000</v>
      </c>
      <c r="F65" s="908">
        <v>16014918</v>
      </c>
      <c r="G65" s="910" t="s">
        <v>1558</v>
      </c>
      <c r="H65" s="910" t="s">
        <v>1519</v>
      </c>
      <c r="I65" s="911" t="s">
        <v>1406</v>
      </c>
      <c r="J65" s="911" t="s">
        <v>1411</v>
      </c>
      <c r="K65" s="879">
        <v>1</v>
      </c>
      <c r="L65" s="878">
        <v>3</v>
      </c>
      <c r="M65" s="880">
        <v>18000</v>
      </c>
      <c r="N65" s="879">
        <v>0</v>
      </c>
      <c r="O65" s="878" t="s">
        <v>2731</v>
      </c>
      <c r="P65" s="880">
        <v>0</v>
      </c>
    </row>
    <row r="66" spans="1:16" ht="18" customHeight="1">
      <c r="A66" s="924" t="s">
        <v>2732</v>
      </c>
      <c r="B66" s="908" t="s">
        <v>1402</v>
      </c>
      <c r="C66" s="908" t="s">
        <v>96</v>
      </c>
      <c r="D66" s="910" t="s">
        <v>1554</v>
      </c>
      <c r="E66" s="917">
        <v>4500</v>
      </c>
      <c r="F66" s="908">
        <v>32785473</v>
      </c>
      <c r="G66" s="910" t="s">
        <v>1559</v>
      </c>
      <c r="H66" s="910" t="s">
        <v>1560</v>
      </c>
      <c r="I66" s="911" t="s">
        <v>1406</v>
      </c>
      <c r="J66" s="911" t="s">
        <v>1411</v>
      </c>
      <c r="K66" s="879">
        <v>1</v>
      </c>
      <c r="L66" s="878">
        <v>12</v>
      </c>
      <c r="M66" s="880">
        <v>50750</v>
      </c>
      <c r="N66" s="879">
        <v>1</v>
      </c>
      <c r="O66" s="878">
        <v>6</v>
      </c>
      <c r="P66" s="880">
        <v>27000</v>
      </c>
    </row>
    <row r="67" spans="1:16" ht="18" customHeight="1">
      <c r="A67" s="924" t="s">
        <v>2732</v>
      </c>
      <c r="B67" s="908" t="s">
        <v>1402</v>
      </c>
      <c r="C67" s="908" t="s">
        <v>96</v>
      </c>
      <c r="D67" s="910" t="s">
        <v>1561</v>
      </c>
      <c r="E67" s="917">
        <v>5300</v>
      </c>
      <c r="F67" s="908">
        <v>10674251</v>
      </c>
      <c r="G67" s="910" t="s">
        <v>1562</v>
      </c>
      <c r="H67" s="910" t="s">
        <v>1423</v>
      </c>
      <c r="I67" s="911" t="s">
        <v>1406</v>
      </c>
      <c r="J67" s="911" t="s">
        <v>1411</v>
      </c>
      <c r="K67" s="879">
        <v>1</v>
      </c>
      <c r="L67" s="878">
        <v>12</v>
      </c>
      <c r="M67" s="880">
        <v>63900</v>
      </c>
      <c r="N67" s="879">
        <v>1</v>
      </c>
      <c r="O67" s="878">
        <v>6</v>
      </c>
      <c r="P67" s="880">
        <v>31800</v>
      </c>
    </row>
    <row r="68" spans="1:16" ht="18" customHeight="1">
      <c r="A68" s="924" t="s">
        <v>2732</v>
      </c>
      <c r="B68" s="908" t="s">
        <v>1402</v>
      </c>
      <c r="C68" s="908" t="s">
        <v>96</v>
      </c>
      <c r="D68" s="910" t="s">
        <v>1563</v>
      </c>
      <c r="E68" s="917">
        <v>2750</v>
      </c>
      <c r="F68" s="908">
        <v>25712676</v>
      </c>
      <c r="G68" s="910" t="s">
        <v>1564</v>
      </c>
      <c r="H68" s="910" t="s">
        <v>1565</v>
      </c>
      <c r="I68" s="911" t="s">
        <v>1480</v>
      </c>
      <c r="J68" s="911" t="s">
        <v>1532</v>
      </c>
      <c r="K68" s="879">
        <v>1</v>
      </c>
      <c r="L68" s="878">
        <v>12</v>
      </c>
      <c r="M68" s="880">
        <v>33300</v>
      </c>
      <c r="N68" s="879">
        <v>1</v>
      </c>
      <c r="O68" s="878">
        <v>6</v>
      </c>
      <c r="P68" s="880">
        <v>16500</v>
      </c>
    </row>
    <row r="69" spans="1:16" ht="24">
      <c r="A69" s="924" t="s">
        <v>2732</v>
      </c>
      <c r="B69" s="908" t="s">
        <v>1402</v>
      </c>
      <c r="C69" s="908" t="s">
        <v>96</v>
      </c>
      <c r="D69" s="910" t="s">
        <v>1566</v>
      </c>
      <c r="E69" s="917">
        <v>7000</v>
      </c>
      <c r="F69" s="908">
        <v>16682094</v>
      </c>
      <c r="G69" s="910" t="s">
        <v>1567</v>
      </c>
      <c r="H69" s="910" t="s">
        <v>1427</v>
      </c>
      <c r="I69" s="911" t="s">
        <v>1420</v>
      </c>
      <c r="J69" s="911" t="s">
        <v>1411</v>
      </c>
      <c r="K69" s="879">
        <v>1</v>
      </c>
      <c r="L69" s="878">
        <v>3</v>
      </c>
      <c r="M69" s="880">
        <v>21000</v>
      </c>
      <c r="N69" s="879">
        <v>0</v>
      </c>
      <c r="O69" s="878" t="s">
        <v>2731</v>
      </c>
      <c r="P69" s="880">
        <v>0</v>
      </c>
    </row>
    <row r="70" spans="1:16" ht="24">
      <c r="A70" s="924" t="s">
        <v>2732</v>
      </c>
      <c r="B70" s="908" t="s">
        <v>1402</v>
      </c>
      <c r="C70" s="908" t="s">
        <v>96</v>
      </c>
      <c r="D70" s="910" t="s">
        <v>1568</v>
      </c>
      <c r="E70" s="917">
        <v>3000</v>
      </c>
      <c r="F70" s="908">
        <v>72765117</v>
      </c>
      <c r="G70" s="910" t="s">
        <v>1569</v>
      </c>
      <c r="H70" s="910" t="s">
        <v>1570</v>
      </c>
      <c r="I70" s="911" t="s">
        <v>1420</v>
      </c>
      <c r="J70" s="911" t="s">
        <v>1411</v>
      </c>
      <c r="K70" s="879">
        <v>1</v>
      </c>
      <c r="L70" s="878">
        <v>6</v>
      </c>
      <c r="M70" s="880">
        <v>17200</v>
      </c>
      <c r="N70" s="879">
        <v>1</v>
      </c>
      <c r="O70" s="878">
        <v>6</v>
      </c>
      <c r="P70" s="880">
        <v>18000</v>
      </c>
    </row>
    <row r="71" spans="1:16" ht="24">
      <c r="A71" s="924" t="s">
        <v>2732</v>
      </c>
      <c r="B71" s="908" t="s">
        <v>1402</v>
      </c>
      <c r="C71" s="908" t="s">
        <v>96</v>
      </c>
      <c r="D71" s="910" t="s">
        <v>1571</v>
      </c>
      <c r="E71" s="917">
        <v>10000</v>
      </c>
      <c r="F71" s="908">
        <v>41713037</v>
      </c>
      <c r="G71" s="910" t="s">
        <v>1572</v>
      </c>
      <c r="H71" s="910" t="s">
        <v>1410</v>
      </c>
      <c r="I71" s="911" t="s">
        <v>1420</v>
      </c>
      <c r="J71" s="911" t="s">
        <v>1411</v>
      </c>
      <c r="K71" s="879">
        <v>1</v>
      </c>
      <c r="L71" s="878">
        <v>12</v>
      </c>
      <c r="M71" s="880">
        <v>106508.88</v>
      </c>
      <c r="N71" s="879">
        <v>1</v>
      </c>
      <c r="O71" s="878">
        <v>1</v>
      </c>
      <c r="P71" s="880">
        <v>4666.6099999999997</v>
      </c>
    </row>
    <row r="72" spans="1:16" ht="18" customHeight="1">
      <c r="A72" s="924" t="s">
        <v>2732</v>
      </c>
      <c r="B72" s="908" t="s">
        <v>1402</v>
      </c>
      <c r="C72" s="908" t="s">
        <v>96</v>
      </c>
      <c r="D72" s="910" t="s">
        <v>1456</v>
      </c>
      <c r="E72" s="917">
        <v>7500</v>
      </c>
      <c r="F72" s="908">
        <v>42346472</v>
      </c>
      <c r="G72" s="910" t="s">
        <v>1573</v>
      </c>
      <c r="H72" s="910" t="s">
        <v>1461</v>
      </c>
      <c r="I72" s="911" t="s">
        <v>1406</v>
      </c>
      <c r="J72" s="911" t="s">
        <v>1411</v>
      </c>
      <c r="K72" s="879">
        <v>1</v>
      </c>
      <c r="L72" s="878">
        <v>12</v>
      </c>
      <c r="M72" s="880">
        <v>90600</v>
      </c>
      <c r="N72" s="879">
        <v>1</v>
      </c>
      <c r="O72" s="878">
        <v>6</v>
      </c>
      <c r="P72" s="880">
        <v>45000</v>
      </c>
    </row>
    <row r="73" spans="1:16" ht="18" customHeight="1">
      <c r="A73" s="924" t="s">
        <v>2732</v>
      </c>
      <c r="B73" s="908" t="s">
        <v>1402</v>
      </c>
      <c r="C73" s="908" t="s">
        <v>96</v>
      </c>
      <c r="D73" s="910" t="s">
        <v>1574</v>
      </c>
      <c r="E73" s="917">
        <v>10000</v>
      </c>
      <c r="F73" s="908">
        <v>40924787</v>
      </c>
      <c r="G73" s="910" t="s">
        <v>1575</v>
      </c>
      <c r="H73" s="910" t="s">
        <v>1455</v>
      </c>
      <c r="I73" s="911" t="s">
        <v>1420</v>
      </c>
      <c r="J73" s="911" t="s">
        <v>1411</v>
      </c>
      <c r="K73" s="879">
        <v>1</v>
      </c>
      <c r="L73" s="878">
        <v>10</v>
      </c>
      <c r="M73" s="880">
        <v>100300</v>
      </c>
      <c r="N73" s="879">
        <v>0</v>
      </c>
      <c r="O73" s="878" t="s">
        <v>2731</v>
      </c>
      <c r="P73" s="880">
        <v>0</v>
      </c>
    </row>
    <row r="74" spans="1:16" ht="18" customHeight="1">
      <c r="A74" s="924" t="s">
        <v>2732</v>
      </c>
      <c r="B74" s="908" t="s">
        <v>1402</v>
      </c>
      <c r="C74" s="908" t="s">
        <v>96</v>
      </c>
      <c r="D74" s="910" t="s">
        <v>1576</v>
      </c>
      <c r="E74" s="917">
        <v>9000</v>
      </c>
      <c r="F74" s="908">
        <v>4001151</v>
      </c>
      <c r="G74" s="910" t="s">
        <v>1577</v>
      </c>
      <c r="H74" s="910" t="s">
        <v>1471</v>
      </c>
      <c r="I74" s="911" t="s">
        <v>1406</v>
      </c>
      <c r="J74" s="911" t="s">
        <v>1411</v>
      </c>
      <c r="K74" s="879">
        <v>1</v>
      </c>
      <c r="L74" s="878">
        <v>12</v>
      </c>
      <c r="M74" s="880">
        <v>108000</v>
      </c>
      <c r="N74" s="879">
        <v>1</v>
      </c>
      <c r="O74" s="878">
        <v>6</v>
      </c>
      <c r="P74" s="880">
        <v>53700</v>
      </c>
    </row>
    <row r="75" spans="1:16" ht="18" customHeight="1">
      <c r="A75" s="924" t="s">
        <v>2732</v>
      </c>
      <c r="B75" s="908" t="s">
        <v>1402</v>
      </c>
      <c r="C75" s="908" t="s">
        <v>96</v>
      </c>
      <c r="D75" s="910" t="s">
        <v>1578</v>
      </c>
      <c r="E75" s="917">
        <v>7000</v>
      </c>
      <c r="F75" s="908">
        <v>25741180</v>
      </c>
      <c r="G75" s="910" t="s">
        <v>1579</v>
      </c>
      <c r="H75" s="910" t="s">
        <v>1565</v>
      </c>
      <c r="I75" s="911" t="s">
        <v>1420</v>
      </c>
      <c r="J75" s="911" t="s">
        <v>1420</v>
      </c>
      <c r="K75" s="879">
        <v>1</v>
      </c>
      <c r="L75" s="878">
        <v>6</v>
      </c>
      <c r="M75" s="880">
        <v>40366.67</v>
      </c>
      <c r="N75" s="879">
        <v>1</v>
      </c>
      <c r="O75" s="878">
        <v>6</v>
      </c>
      <c r="P75" s="880">
        <v>42000</v>
      </c>
    </row>
    <row r="76" spans="1:16" ht="18" customHeight="1">
      <c r="A76" s="924" t="s">
        <v>2732</v>
      </c>
      <c r="B76" s="908" t="s">
        <v>1402</v>
      </c>
      <c r="C76" s="908" t="s">
        <v>96</v>
      </c>
      <c r="D76" s="910" t="s">
        <v>1580</v>
      </c>
      <c r="E76" s="917">
        <v>6000</v>
      </c>
      <c r="F76" s="908">
        <v>43332075</v>
      </c>
      <c r="G76" s="910" t="s">
        <v>1581</v>
      </c>
      <c r="H76" s="910" t="s">
        <v>1461</v>
      </c>
      <c r="I76" s="911" t="s">
        <v>1406</v>
      </c>
      <c r="J76" s="911" t="s">
        <v>1420</v>
      </c>
      <c r="K76" s="879">
        <v>0</v>
      </c>
      <c r="L76" s="878" t="s">
        <v>2731</v>
      </c>
      <c r="M76" s="880">
        <v>0</v>
      </c>
      <c r="N76" s="879">
        <v>1</v>
      </c>
      <c r="O76" s="878">
        <v>6</v>
      </c>
      <c r="P76" s="880">
        <v>35000</v>
      </c>
    </row>
    <row r="77" spans="1:16" ht="18" customHeight="1">
      <c r="A77" s="924" t="s">
        <v>2732</v>
      </c>
      <c r="B77" s="908" t="s">
        <v>1402</v>
      </c>
      <c r="C77" s="908" t="s">
        <v>96</v>
      </c>
      <c r="D77" s="910" t="s">
        <v>1582</v>
      </c>
      <c r="E77" s="917">
        <v>6000</v>
      </c>
      <c r="F77" s="908">
        <v>40622842</v>
      </c>
      <c r="G77" s="910" t="s">
        <v>1583</v>
      </c>
      <c r="H77" s="910" t="s">
        <v>1584</v>
      </c>
      <c r="I77" s="911" t="s">
        <v>1406</v>
      </c>
      <c r="J77" s="911" t="s">
        <v>1411</v>
      </c>
      <c r="K77" s="879">
        <v>1</v>
      </c>
      <c r="L77" s="878">
        <v>9</v>
      </c>
      <c r="M77" s="880">
        <v>52300</v>
      </c>
      <c r="N77" s="879">
        <v>1</v>
      </c>
      <c r="O77" s="878">
        <v>6</v>
      </c>
      <c r="P77" s="880">
        <v>36000</v>
      </c>
    </row>
    <row r="78" spans="1:16" ht="18" customHeight="1">
      <c r="A78" s="924" t="s">
        <v>2732</v>
      </c>
      <c r="B78" s="908" t="s">
        <v>1402</v>
      </c>
      <c r="C78" s="908" t="s">
        <v>96</v>
      </c>
      <c r="D78" s="910" t="s">
        <v>1585</v>
      </c>
      <c r="E78" s="917">
        <v>4500</v>
      </c>
      <c r="F78" s="908">
        <v>41465964</v>
      </c>
      <c r="G78" s="910" t="s">
        <v>1586</v>
      </c>
      <c r="H78" s="910" t="s">
        <v>1483</v>
      </c>
      <c r="I78" s="911" t="s">
        <v>1420</v>
      </c>
      <c r="J78" s="911" t="s">
        <v>1411</v>
      </c>
      <c r="K78" s="879">
        <v>1</v>
      </c>
      <c r="L78" s="878">
        <v>12</v>
      </c>
      <c r="M78" s="880">
        <v>54300</v>
      </c>
      <c r="N78" s="879">
        <v>1</v>
      </c>
      <c r="O78" s="878">
        <v>6</v>
      </c>
      <c r="P78" s="880">
        <v>26850</v>
      </c>
    </row>
    <row r="79" spans="1:16" ht="24">
      <c r="A79" s="924" t="s">
        <v>2732</v>
      </c>
      <c r="B79" s="908" t="s">
        <v>1402</v>
      </c>
      <c r="C79" s="908" t="s">
        <v>96</v>
      </c>
      <c r="D79" s="910" t="s">
        <v>1587</v>
      </c>
      <c r="E79" s="917">
        <v>11000</v>
      </c>
      <c r="F79" s="908">
        <v>40195967</v>
      </c>
      <c r="G79" s="910" t="s">
        <v>1588</v>
      </c>
      <c r="H79" s="910" t="s">
        <v>1570</v>
      </c>
      <c r="I79" s="911" t="s">
        <v>1420</v>
      </c>
      <c r="J79" s="911" t="s">
        <v>1411</v>
      </c>
      <c r="K79" s="879">
        <v>1</v>
      </c>
      <c r="L79" s="878">
        <v>12</v>
      </c>
      <c r="M79" s="880">
        <v>132300</v>
      </c>
      <c r="N79" s="879">
        <v>1</v>
      </c>
      <c r="O79" s="878">
        <v>6</v>
      </c>
      <c r="P79" s="880">
        <v>64533.33</v>
      </c>
    </row>
    <row r="80" spans="1:16" ht="18" customHeight="1">
      <c r="A80" s="924" t="s">
        <v>2732</v>
      </c>
      <c r="B80" s="908" t="s">
        <v>1402</v>
      </c>
      <c r="C80" s="908" t="s">
        <v>96</v>
      </c>
      <c r="D80" s="910" t="s">
        <v>1554</v>
      </c>
      <c r="E80" s="917">
        <v>5000</v>
      </c>
      <c r="F80" s="908">
        <v>45729979</v>
      </c>
      <c r="G80" s="910" t="s">
        <v>1589</v>
      </c>
      <c r="H80" s="910" t="s">
        <v>1590</v>
      </c>
      <c r="I80" s="911" t="s">
        <v>1480</v>
      </c>
      <c r="J80" s="911" t="s">
        <v>1407</v>
      </c>
      <c r="K80" s="879">
        <v>1</v>
      </c>
      <c r="L80" s="878">
        <v>12</v>
      </c>
      <c r="M80" s="880">
        <v>60221.87</v>
      </c>
      <c r="N80" s="879">
        <v>1</v>
      </c>
      <c r="O80" s="878">
        <v>6</v>
      </c>
      <c r="P80" s="880">
        <v>30000</v>
      </c>
    </row>
    <row r="81" spans="1:16" ht="24">
      <c r="A81" s="924" t="s">
        <v>2732</v>
      </c>
      <c r="B81" s="908" t="s">
        <v>1402</v>
      </c>
      <c r="C81" s="908" t="s">
        <v>96</v>
      </c>
      <c r="D81" s="910" t="s">
        <v>1591</v>
      </c>
      <c r="E81" s="917">
        <v>5000</v>
      </c>
      <c r="F81" s="908">
        <v>45830610</v>
      </c>
      <c r="G81" s="910" t="s">
        <v>1592</v>
      </c>
      <c r="H81" s="910" t="s">
        <v>1455</v>
      </c>
      <c r="I81" s="911" t="s">
        <v>1420</v>
      </c>
      <c r="J81" s="911" t="s">
        <v>1411</v>
      </c>
      <c r="K81" s="879">
        <v>1</v>
      </c>
      <c r="L81" s="878">
        <v>12</v>
      </c>
      <c r="M81" s="880">
        <v>60300</v>
      </c>
      <c r="N81" s="879">
        <v>1</v>
      </c>
      <c r="O81" s="878">
        <v>6</v>
      </c>
      <c r="P81" s="880">
        <v>30000</v>
      </c>
    </row>
    <row r="82" spans="1:16" ht="18" customHeight="1">
      <c r="A82" s="924" t="s">
        <v>2732</v>
      </c>
      <c r="B82" s="908" t="s">
        <v>1402</v>
      </c>
      <c r="C82" s="908" t="s">
        <v>96</v>
      </c>
      <c r="D82" s="910" t="s">
        <v>1593</v>
      </c>
      <c r="E82" s="917">
        <v>7500</v>
      </c>
      <c r="F82" s="908">
        <v>44225393</v>
      </c>
      <c r="G82" s="910" t="s">
        <v>1594</v>
      </c>
      <c r="H82" s="910" t="s">
        <v>1483</v>
      </c>
      <c r="I82" s="911" t="s">
        <v>1406</v>
      </c>
      <c r="J82" s="911" t="s">
        <v>1411</v>
      </c>
      <c r="K82" s="879">
        <v>1</v>
      </c>
      <c r="L82" s="878">
        <v>4</v>
      </c>
      <c r="M82" s="880">
        <v>32750</v>
      </c>
      <c r="N82" s="879">
        <v>0</v>
      </c>
      <c r="O82" s="878" t="s">
        <v>2731</v>
      </c>
      <c r="P82" s="880">
        <v>0</v>
      </c>
    </row>
    <row r="83" spans="1:16" ht="24">
      <c r="A83" s="924" t="s">
        <v>2732</v>
      </c>
      <c r="B83" s="908" t="s">
        <v>1402</v>
      </c>
      <c r="C83" s="908" t="s">
        <v>96</v>
      </c>
      <c r="D83" s="910" t="s">
        <v>1595</v>
      </c>
      <c r="E83" s="917">
        <v>6000</v>
      </c>
      <c r="F83" s="908">
        <v>46841559</v>
      </c>
      <c r="G83" s="910" t="s">
        <v>1596</v>
      </c>
      <c r="H83" s="910" t="s">
        <v>1597</v>
      </c>
      <c r="I83" s="911" t="s">
        <v>1406</v>
      </c>
      <c r="J83" s="911" t="s">
        <v>1420</v>
      </c>
      <c r="K83" s="879">
        <v>1</v>
      </c>
      <c r="L83" s="878">
        <v>6</v>
      </c>
      <c r="M83" s="880">
        <v>34600</v>
      </c>
      <c r="N83" s="879">
        <v>1</v>
      </c>
      <c r="O83" s="878">
        <v>6</v>
      </c>
      <c r="P83" s="880">
        <v>36000</v>
      </c>
    </row>
    <row r="84" spans="1:16" ht="18" customHeight="1">
      <c r="A84" s="924" t="s">
        <v>2732</v>
      </c>
      <c r="B84" s="908" t="s">
        <v>1402</v>
      </c>
      <c r="C84" s="908" t="s">
        <v>96</v>
      </c>
      <c r="D84" s="910" t="s">
        <v>1598</v>
      </c>
      <c r="E84" s="917">
        <v>12000</v>
      </c>
      <c r="F84" s="908">
        <v>43441996</v>
      </c>
      <c r="G84" s="910" t="s">
        <v>1599</v>
      </c>
      <c r="H84" s="910" t="s">
        <v>1461</v>
      </c>
      <c r="I84" s="911" t="s">
        <v>1406</v>
      </c>
      <c r="J84" s="911" t="s">
        <v>1411</v>
      </c>
      <c r="K84" s="879">
        <v>1</v>
      </c>
      <c r="L84" s="878">
        <v>4</v>
      </c>
      <c r="M84" s="880">
        <v>46400</v>
      </c>
      <c r="N84" s="879">
        <v>1</v>
      </c>
      <c r="O84" s="878">
        <v>1</v>
      </c>
      <c r="P84" s="880">
        <v>12000</v>
      </c>
    </row>
    <row r="85" spans="1:16" ht="18" customHeight="1">
      <c r="A85" s="924" t="s">
        <v>2732</v>
      </c>
      <c r="B85" s="908" t="s">
        <v>1402</v>
      </c>
      <c r="C85" s="908" t="s">
        <v>96</v>
      </c>
      <c r="D85" s="910" t="s">
        <v>1600</v>
      </c>
      <c r="E85" s="917">
        <v>4500</v>
      </c>
      <c r="F85" s="908">
        <v>8353801</v>
      </c>
      <c r="G85" s="910" t="s">
        <v>1601</v>
      </c>
      <c r="H85" s="910" t="s">
        <v>21</v>
      </c>
      <c r="I85" s="911" t="s">
        <v>1424</v>
      </c>
      <c r="J85" s="911" t="s">
        <v>1407</v>
      </c>
      <c r="K85" s="879">
        <v>1</v>
      </c>
      <c r="L85" s="878">
        <v>12</v>
      </c>
      <c r="M85" s="880">
        <v>54154.06</v>
      </c>
      <c r="N85" s="879">
        <v>1</v>
      </c>
      <c r="O85" s="878">
        <v>6</v>
      </c>
      <c r="P85" s="880">
        <v>27000</v>
      </c>
    </row>
    <row r="86" spans="1:16" ht="24">
      <c r="A86" s="924" t="s">
        <v>2732</v>
      </c>
      <c r="B86" s="908" t="s">
        <v>1402</v>
      </c>
      <c r="C86" s="908" t="s">
        <v>96</v>
      </c>
      <c r="D86" s="910" t="s">
        <v>1602</v>
      </c>
      <c r="E86" s="917">
        <v>13000</v>
      </c>
      <c r="F86" s="908">
        <v>1345144</v>
      </c>
      <c r="G86" s="910" t="s">
        <v>1603</v>
      </c>
      <c r="H86" s="910" t="s">
        <v>1410</v>
      </c>
      <c r="I86" s="911" t="s">
        <v>1406</v>
      </c>
      <c r="J86" s="911" t="s">
        <v>1420</v>
      </c>
      <c r="K86" s="879">
        <v>1</v>
      </c>
      <c r="L86" s="878">
        <v>2</v>
      </c>
      <c r="M86" s="880">
        <v>30333.33</v>
      </c>
      <c r="N86" s="879">
        <v>1</v>
      </c>
      <c r="O86" s="878">
        <v>6</v>
      </c>
      <c r="P86" s="880">
        <v>78000</v>
      </c>
    </row>
    <row r="87" spans="1:16" ht="18" customHeight="1">
      <c r="A87" s="924" t="s">
        <v>2732</v>
      </c>
      <c r="B87" s="908" t="s">
        <v>1402</v>
      </c>
      <c r="C87" s="908" t="s">
        <v>96</v>
      </c>
      <c r="D87" s="910" t="s">
        <v>1604</v>
      </c>
      <c r="E87" s="917">
        <v>12000</v>
      </c>
      <c r="F87" s="908">
        <v>10300796</v>
      </c>
      <c r="G87" s="910" t="s">
        <v>1605</v>
      </c>
      <c r="H87" s="910" t="s">
        <v>1410</v>
      </c>
      <c r="I87" s="911" t="s">
        <v>1406</v>
      </c>
      <c r="J87" s="911" t="s">
        <v>1411</v>
      </c>
      <c r="K87" s="879">
        <v>1</v>
      </c>
      <c r="L87" s="878">
        <v>11</v>
      </c>
      <c r="M87" s="880">
        <v>127900</v>
      </c>
      <c r="N87" s="879">
        <v>1</v>
      </c>
      <c r="O87" s="878">
        <v>1</v>
      </c>
      <c r="P87" s="880">
        <v>12000</v>
      </c>
    </row>
    <row r="88" spans="1:16" ht="18" customHeight="1">
      <c r="A88" s="924" t="s">
        <v>2732</v>
      </c>
      <c r="B88" s="908" t="s">
        <v>1402</v>
      </c>
      <c r="C88" s="908" t="s">
        <v>96</v>
      </c>
      <c r="D88" s="910" t="s">
        <v>1606</v>
      </c>
      <c r="E88" s="917">
        <v>8000</v>
      </c>
      <c r="F88" s="908">
        <v>72174935</v>
      </c>
      <c r="G88" s="910" t="s">
        <v>1607</v>
      </c>
      <c r="H88" s="910" t="s">
        <v>1461</v>
      </c>
      <c r="I88" s="911" t="s">
        <v>1420</v>
      </c>
      <c r="J88" s="911" t="s">
        <v>1411</v>
      </c>
      <c r="K88" s="879">
        <v>1</v>
      </c>
      <c r="L88" s="878">
        <v>12</v>
      </c>
      <c r="M88" s="880">
        <v>79060</v>
      </c>
      <c r="N88" s="879">
        <v>1</v>
      </c>
      <c r="O88" s="878">
        <v>6</v>
      </c>
      <c r="P88" s="880">
        <v>47408.53</v>
      </c>
    </row>
    <row r="89" spans="1:16" ht="18" customHeight="1">
      <c r="A89" s="924" t="s">
        <v>2732</v>
      </c>
      <c r="B89" s="908" t="s">
        <v>1402</v>
      </c>
      <c r="C89" s="908" t="s">
        <v>96</v>
      </c>
      <c r="D89" s="910" t="s">
        <v>1608</v>
      </c>
      <c r="E89" s="917">
        <v>6200</v>
      </c>
      <c r="F89" s="908">
        <v>46140508</v>
      </c>
      <c r="G89" s="910" t="s">
        <v>1609</v>
      </c>
      <c r="H89" s="910" t="s">
        <v>1410</v>
      </c>
      <c r="I89" s="911" t="s">
        <v>1406</v>
      </c>
      <c r="J89" s="911" t="s">
        <v>1420</v>
      </c>
      <c r="K89" s="879">
        <v>1</v>
      </c>
      <c r="L89" s="878">
        <v>2</v>
      </c>
      <c r="M89" s="880">
        <v>9713.33</v>
      </c>
      <c r="N89" s="879">
        <v>1</v>
      </c>
      <c r="O89" s="878">
        <v>6</v>
      </c>
      <c r="P89" s="880">
        <v>36993.33</v>
      </c>
    </row>
    <row r="90" spans="1:16" ht="18" customHeight="1">
      <c r="A90" s="924" t="s">
        <v>2732</v>
      </c>
      <c r="B90" s="908" t="s">
        <v>1402</v>
      </c>
      <c r="C90" s="908" t="s">
        <v>96</v>
      </c>
      <c r="D90" s="910" t="s">
        <v>1610</v>
      </c>
      <c r="E90" s="917">
        <v>3500</v>
      </c>
      <c r="F90" s="908">
        <v>72676791</v>
      </c>
      <c r="G90" s="910" t="s">
        <v>1611</v>
      </c>
      <c r="H90" s="910" t="s">
        <v>1455</v>
      </c>
      <c r="I90" s="911" t="s">
        <v>1420</v>
      </c>
      <c r="J90" s="911" t="s">
        <v>1411</v>
      </c>
      <c r="K90" s="879">
        <v>1</v>
      </c>
      <c r="L90" s="878">
        <v>4</v>
      </c>
      <c r="M90" s="880">
        <v>14000</v>
      </c>
      <c r="N90" s="879">
        <v>0</v>
      </c>
      <c r="O90" s="878" t="s">
        <v>2731</v>
      </c>
      <c r="P90" s="880">
        <v>0</v>
      </c>
    </row>
    <row r="91" spans="1:16" ht="24">
      <c r="A91" s="924" t="s">
        <v>2732</v>
      </c>
      <c r="B91" s="908" t="s">
        <v>1402</v>
      </c>
      <c r="C91" s="908" t="s">
        <v>96</v>
      </c>
      <c r="D91" s="910" t="s">
        <v>1496</v>
      </c>
      <c r="E91" s="917">
        <v>6000</v>
      </c>
      <c r="F91" s="908">
        <v>45811954</v>
      </c>
      <c r="G91" s="910" t="s">
        <v>1612</v>
      </c>
      <c r="H91" s="910" t="s">
        <v>1410</v>
      </c>
      <c r="I91" s="911" t="s">
        <v>1406</v>
      </c>
      <c r="J91" s="911" t="s">
        <v>1411</v>
      </c>
      <c r="K91" s="879">
        <v>1</v>
      </c>
      <c r="L91" s="878">
        <v>11</v>
      </c>
      <c r="M91" s="880">
        <v>63123.770000000004</v>
      </c>
      <c r="N91" s="879">
        <v>0</v>
      </c>
      <c r="O91" s="878" t="s">
        <v>2731</v>
      </c>
      <c r="P91" s="880">
        <v>0</v>
      </c>
    </row>
    <row r="92" spans="1:16" ht="18" customHeight="1">
      <c r="A92" s="924" t="s">
        <v>2732</v>
      </c>
      <c r="B92" s="908" t="s">
        <v>1402</v>
      </c>
      <c r="C92" s="908" t="s">
        <v>96</v>
      </c>
      <c r="D92" s="910" t="s">
        <v>1613</v>
      </c>
      <c r="E92" s="917">
        <v>10500</v>
      </c>
      <c r="F92" s="908">
        <v>10797810</v>
      </c>
      <c r="G92" s="910" t="s">
        <v>1614</v>
      </c>
      <c r="H92" s="910" t="s">
        <v>1410</v>
      </c>
      <c r="I92" s="911" t="s">
        <v>1406</v>
      </c>
      <c r="J92" s="911" t="s">
        <v>1411</v>
      </c>
      <c r="K92" s="879">
        <v>1</v>
      </c>
      <c r="L92" s="878">
        <v>6</v>
      </c>
      <c r="M92" s="880">
        <v>60550</v>
      </c>
      <c r="N92" s="879">
        <v>1</v>
      </c>
      <c r="O92" s="878">
        <v>6</v>
      </c>
      <c r="P92" s="880">
        <v>63000</v>
      </c>
    </row>
    <row r="93" spans="1:16" ht="24">
      <c r="A93" s="924" t="s">
        <v>2732</v>
      </c>
      <c r="B93" s="908" t="s">
        <v>1402</v>
      </c>
      <c r="C93" s="908" t="s">
        <v>96</v>
      </c>
      <c r="D93" s="910" t="s">
        <v>1615</v>
      </c>
      <c r="E93" s="917">
        <v>6000</v>
      </c>
      <c r="F93" s="908">
        <v>41006102</v>
      </c>
      <c r="G93" s="910" t="s">
        <v>1616</v>
      </c>
      <c r="H93" s="910" t="s">
        <v>1474</v>
      </c>
      <c r="I93" s="911" t="s">
        <v>1406</v>
      </c>
      <c r="J93" s="911" t="s">
        <v>1411</v>
      </c>
      <c r="K93" s="879">
        <v>1</v>
      </c>
      <c r="L93" s="878">
        <v>12</v>
      </c>
      <c r="M93" s="880">
        <v>72174.52</v>
      </c>
      <c r="N93" s="879">
        <v>1</v>
      </c>
      <c r="O93" s="878">
        <v>6</v>
      </c>
      <c r="P93" s="880">
        <v>35906.25</v>
      </c>
    </row>
    <row r="94" spans="1:16" ht="18" customHeight="1">
      <c r="A94" s="924" t="s">
        <v>2732</v>
      </c>
      <c r="B94" s="908" t="s">
        <v>1402</v>
      </c>
      <c r="C94" s="908" t="s">
        <v>96</v>
      </c>
      <c r="D94" s="910" t="s">
        <v>1617</v>
      </c>
      <c r="E94" s="917">
        <v>8000</v>
      </c>
      <c r="F94" s="908">
        <v>42469425</v>
      </c>
      <c r="G94" s="910" t="s">
        <v>1618</v>
      </c>
      <c r="H94" s="910" t="s">
        <v>1442</v>
      </c>
      <c r="I94" s="911" t="s">
        <v>1406</v>
      </c>
      <c r="J94" s="911" t="s">
        <v>1420</v>
      </c>
      <c r="K94" s="879">
        <v>1</v>
      </c>
      <c r="L94" s="878">
        <v>6</v>
      </c>
      <c r="M94" s="880">
        <v>46133.33</v>
      </c>
      <c r="N94" s="879">
        <v>1</v>
      </c>
      <c r="O94" s="878">
        <v>6</v>
      </c>
      <c r="P94" s="880">
        <v>48000</v>
      </c>
    </row>
    <row r="95" spans="1:16" ht="18" customHeight="1">
      <c r="A95" s="924" t="s">
        <v>2732</v>
      </c>
      <c r="B95" s="908" t="s">
        <v>1402</v>
      </c>
      <c r="C95" s="908" t="s">
        <v>96</v>
      </c>
      <c r="D95" s="910" t="s">
        <v>1462</v>
      </c>
      <c r="E95" s="917">
        <v>3500</v>
      </c>
      <c r="F95" s="908">
        <v>21065765</v>
      </c>
      <c r="G95" s="910" t="s">
        <v>1619</v>
      </c>
      <c r="H95" s="910" t="s">
        <v>1620</v>
      </c>
      <c r="I95" s="911" t="s">
        <v>1424</v>
      </c>
      <c r="J95" s="911" t="s">
        <v>1407</v>
      </c>
      <c r="K95" s="879">
        <v>1</v>
      </c>
      <c r="L95" s="878">
        <v>12</v>
      </c>
      <c r="M95" s="880">
        <v>42173.33</v>
      </c>
      <c r="N95" s="879">
        <v>1</v>
      </c>
      <c r="O95" s="878">
        <v>6</v>
      </c>
      <c r="P95" s="880">
        <v>21000</v>
      </c>
    </row>
    <row r="96" spans="1:16" ht="18" customHeight="1">
      <c r="A96" s="924" t="s">
        <v>2732</v>
      </c>
      <c r="B96" s="908" t="s">
        <v>1402</v>
      </c>
      <c r="C96" s="908" t="s">
        <v>96</v>
      </c>
      <c r="D96" s="910" t="s">
        <v>1621</v>
      </c>
      <c r="E96" s="917">
        <v>9000</v>
      </c>
      <c r="F96" s="908">
        <v>9464623</v>
      </c>
      <c r="G96" s="910" t="s">
        <v>1622</v>
      </c>
      <c r="H96" s="910" t="s">
        <v>1414</v>
      </c>
      <c r="I96" s="911" t="s">
        <v>1406</v>
      </c>
      <c r="J96" s="911" t="s">
        <v>1420</v>
      </c>
      <c r="K96" s="879">
        <v>1</v>
      </c>
      <c r="L96" s="878">
        <v>6</v>
      </c>
      <c r="M96" s="880">
        <v>51900</v>
      </c>
      <c r="N96" s="879">
        <v>1</v>
      </c>
      <c r="O96" s="878">
        <v>6</v>
      </c>
      <c r="P96" s="880">
        <v>53850</v>
      </c>
    </row>
    <row r="97" spans="1:16" ht="24">
      <c r="A97" s="924" t="s">
        <v>2732</v>
      </c>
      <c r="B97" s="908" t="s">
        <v>1402</v>
      </c>
      <c r="C97" s="908" t="s">
        <v>96</v>
      </c>
      <c r="D97" s="910" t="s">
        <v>1623</v>
      </c>
      <c r="E97" s="917">
        <v>6000</v>
      </c>
      <c r="F97" s="908">
        <v>9526874</v>
      </c>
      <c r="G97" s="910" t="s">
        <v>1624</v>
      </c>
      <c r="H97" s="910" t="s">
        <v>1625</v>
      </c>
      <c r="I97" s="911" t="s">
        <v>1406</v>
      </c>
      <c r="J97" s="911" t="s">
        <v>1411</v>
      </c>
      <c r="K97" s="879">
        <v>1</v>
      </c>
      <c r="L97" s="878">
        <v>12</v>
      </c>
      <c r="M97" s="880">
        <v>72300</v>
      </c>
      <c r="N97" s="879">
        <v>1</v>
      </c>
      <c r="O97" s="878">
        <v>6</v>
      </c>
      <c r="P97" s="880">
        <v>36000</v>
      </c>
    </row>
    <row r="98" spans="1:16" ht="24">
      <c r="A98" s="924" t="s">
        <v>2732</v>
      </c>
      <c r="B98" s="908" t="s">
        <v>1402</v>
      </c>
      <c r="C98" s="908" t="s">
        <v>96</v>
      </c>
      <c r="D98" s="910" t="s">
        <v>1626</v>
      </c>
      <c r="E98" s="917">
        <v>12000</v>
      </c>
      <c r="F98" s="908">
        <v>40182116</v>
      </c>
      <c r="G98" s="910" t="s">
        <v>1627</v>
      </c>
      <c r="H98" s="910" t="s">
        <v>1461</v>
      </c>
      <c r="I98" s="911" t="s">
        <v>1420</v>
      </c>
      <c r="J98" s="911" t="s">
        <v>1411</v>
      </c>
      <c r="K98" s="879">
        <v>1</v>
      </c>
      <c r="L98" s="878">
        <v>12</v>
      </c>
      <c r="M98" s="880">
        <v>144600</v>
      </c>
      <c r="N98" s="879">
        <v>1</v>
      </c>
      <c r="O98" s="878">
        <v>6</v>
      </c>
      <c r="P98" s="880">
        <v>72000</v>
      </c>
    </row>
    <row r="99" spans="1:16" ht="18" customHeight="1">
      <c r="A99" s="924" t="s">
        <v>2732</v>
      </c>
      <c r="B99" s="908" t="s">
        <v>1402</v>
      </c>
      <c r="C99" s="908" t="s">
        <v>96</v>
      </c>
      <c r="D99" s="910" t="s">
        <v>1628</v>
      </c>
      <c r="E99" s="917">
        <v>8000</v>
      </c>
      <c r="F99" s="908">
        <v>40567001</v>
      </c>
      <c r="G99" s="910" t="s">
        <v>1629</v>
      </c>
      <c r="H99" s="910" t="s">
        <v>1471</v>
      </c>
      <c r="I99" s="911" t="s">
        <v>1406</v>
      </c>
      <c r="J99" s="911" t="s">
        <v>1420</v>
      </c>
      <c r="K99" s="879">
        <v>1</v>
      </c>
      <c r="L99" s="878">
        <v>4</v>
      </c>
      <c r="M99" s="880">
        <v>30933.33</v>
      </c>
      <c r="N99" s="879">
        <v>1</v>
      </c>
      <c r="O99" s="878">
        <v>6</v>
      </c>
      <c r="P99" s="880">
        <v>48000</v>
      </c>
    </row>
    <row r="100" spans="1:16" ht="18" customHeight="1">
      <c r="A100" s="924" t="s">
        <v>2732</v>
      </c>
      <c r="B100" s="908" t="s">
        <v>1402</v>
      </c>
      <c r="C100" s="908" t="s">
        <v>96</v>
      </c>
      <c r="D100" s="910" t="s">
        <v>1630</v>
      </c>
      <c r="E100" s="917">
        <v>15600</v>
      </c>
      <c r="F100" s="908">
        <v>40413601</v>
      </c>
      <c r="G100" s="910" t="s">
        <v>1631</v>
      </c>
      <c r="H100" s="910" t="s">
        <v>1410</v>
      </c>
      <c r="I100" s="911" t="s">
        <v>1406</v>
      </c>
      <c r="J100" s="911" t="s">
        <v>1411</v>
      </c>
      <c r="K100" s="879">
        <v>1</v>
      </c>
      <c r="L100" s="878">
        <v>12</v>
      </c>
      <c r="M100" s="880">
        <v>186857.29</v>
      </c>
      <c r="N100" s="879">
        <v>1</v>
      </c>
      <c r="O100" s="878">
        <v>6</v>
      </c>
      <c r="P100" s="880">
        <v>91684.67</v>
      </c>
    </row>
    <row r="101" spans="1:16" ht="18" customHeight="1">
      <c r="A101" s="924" t="s">
        <v>2732</v>
      </c>
      <c r="B101" s="908" t="s">
        <v>1402</v>
      </c>
      <c r="C101" s="908" t="s">
        <v>96</v>
      </c>
      <c r="D101" s="910" t="s">
        <v>1632</v>
      </c>
      <c r="E101" s="917">
        <v>7500</v>
      </c>
      <c r="F101" s="908">
        <v>46867283</v>
      </c>
      <c r="G101" s="910" t="s">
        <v>1633</v>
      </c>
      <c r="H101" s="910" t="s">
        <v>1448</v>
      </c>
      <c r="I101" s="911" t="s">
        <v>1406</v>
      </c>
      <c r="J101" s="911" t="s">
        <v>1411</v>
      </c>
      <c r="K101" s="879">
        <v>1</v>
      </c>
      <c r="L101" s="878">
        <v>12</v>
      </c>
      <c r="M101" s="880">
        <v>82283.33</v>
      </c>
      <c r="N101" s="879">
        <v>1</v>
      </c>
      <c r="O101" s="878">
        <v>6</v>
      </c>
      <c r="P101" s="880">
        <v>45000</v>
      </c>
    </row>
    <row r="102" spans="1:16" ht="24">
      <c r="A102" s="924" t="s">
        <v>2732</v>
      </c>
      <c r="B102" s="908" t="s">
        <v>1402</v>
      </c>
      <c r="C102" s="908" t="s">
        <v>96</v>
      </c>
      <c r="D102" s="910" t="s">
        <v>1634</v>
      </c>
      <c r="E102" s="917">
        <v>7000</v>
      </c>
      <c r="F102" s="908">
        <v>40139026</v>
      </c>
      <c r="G102" s="910" t="s">
        <v>1635</v>
      </c>
      <c r="H102" s="910" t="s">
        <v>1442</v>
      </c>
      <c r="I102" s="911" t="s">
        <v>1406</v>
      </c>
      <c r="J102" s="911" t="s">
        <v>1411</v>
      </c>
      <c r="K102" s="879">
        <v>1</v>
      </c>
      <c r="L102" s="878">
        <v>12</v>
      </c>
      <c r="M102" s="880">
        <v>84300</v>
      </c>
      <c r="N102" s="879">
        <v>1</v>
      </c>
      <c r="O102" s="878">
        <v>6</v>
      </c>
      <c r="P102" s="880">
        <v>42000</v>
      </c>
    </row>
    <row r="103" spans="1:16" ht="24">
      <c r="A103" s="924" t="s">
        <v>2732</v>
      </c>
      <c r="B103" s="908" t="s">
        <v>1402</v>
      </c>
      <c r="C103" s="908" t="s">
        <v>96</v>
      </c>
      <c r="D103" s="910" t="s">
        <v>1636</v>
      </c>
      <c r="E103" s="917">
        <v>6000</v>
      </c>
      <c r="F103" s="908">
        <v>43161919</v>
      </c>
      <c r="G103" s="910" t="s">
        <v>1637</v>
      </c>
      <c r="H103" s="910" t="s">
        <v>1461</v>
      </c>
      <c r="I103" s="911" t="s">
        <v>1420</v>
      </c>
      <c r="J103" s="911" t="s">
        <v>1411</v>
      </c>
      <c r="K103" s="879">
        <v>1</v>
      </c>
      <c r="L103" s="878">
        <v>12</v>
      </c>
      <c r="M103" s="880">
        <v>68184</v>
      </c>
      <c r="N103" s="879">
        <v>1</v>
      </c>
      <c r="O103" s="878">
        <v>6</v>
      </c>
      <c r="P103" s="880">
        <v>36000</v>
      </c>
    </row>
    <row r="104" spans="1:16" ht="18" customHeight="1">
      <c r="A104" s="924" t="s">
        <v>2732</v>
      </c>
      <c r="B104" s="908" t="s">
        <v>1402</v>
      </c>
      <c r="C104" s="908" t="s">
        <v>96</v>
      </c>
      <c r="D104" s="910" t="s">
        <v>1638</v>
      </c>
      <c r="E104" s="917">
        <v>4000</v>
      </c>
      <c r="F104" s="908">
        <v>21246008</v>
      </c>
      <c r="G104" s="910" t="s">
        <v>1639</v>
      </c>
      <c r="H104" s="910" t="s">
        <v>1640</v>
      </c>
      <c r="I104" s="911" t="s">
        <v>1406</v>
      </c>
      <c r="J104" s="911" t="s">
        <v>1407</v>
      </c>
      <c r="K104" s="879">
        <v>1</v>
      </c>
      <c r="L104" s="878">
        <v>12</v>
      </c>
      <c r="M104" s="880">
        <v>48300</v>
      </c>
      <c r="N104" s="879">
        <v>1</v>
      </c>
      <c r="O104" s="878">
        <v>6</v>
      </c>
      <c r="P104" s="880">
        <v>24000</v>
      </c>
    </row>
    <row r="105" spans="1:16" ht="24">
      <c r="A105" s="924" t="s">
        <v>2732</v>
      </c>
      <c r="B105" s="908" t="s">
        <v>1402</v>
      </c>
      <c r="C105" s="908" t="s">
        <v>96</v>
      </c>
      <c r="D105" s="910" t="s">
        <v>1641</v>
      </c>
      <c r="E105" s="917">
        <v>7000</v>
      </c>
      <c r="F105" s="908">
        <v>43885970</v>
      </c>
      <c r="G105" s="910" t="s">
        <v>1642</v>
      </c>
      <c r="H105" s="910" t="s">
        <v>1410</v>
      </c>
      <c r="I105" s="911" t="s">
        <v>1406</v>
      </c>
      <c r="J105" s="911" t="s">
        <v>1411</v>
      </c>
      <c r="K105" s="879">
        <v>1</v>
      </c>
      <c r="L105" s="878">
        <v>12</v>
      </c>
      <c r="M105" s="880">
        <v>78286.880000000005</v>
      </c>
      <c r="N105" s="879">
        <v>1</v>
      </c>
      <c r="O105" s="878">
        <v>6</v>
      </c>
      <c r="P105" s="880">
        <v>42000</v>
      </c>
    </row>
    <row r="106" spans="1:16" ht="18" customHeight="1">
      <c r="A106" s="924" t="s">
        <v>2732</v>
      </c>
      <c r="B106" s="908" t="s">
        <v>1402</v>
      </c>
      <c r="C106" s="908" t="s">
        <v>96</v>
      </c>
      <c r="D106" s="910" t="s">
        <v>1486</v>
      </c>
      <c r="E106" s="917">
        <v>6000</v>
      </c>
      <c r="F106" s="908">
        <v>10726403</v>
      </c>
      <c r="G106" s="910" t="s">
        <v>1643</v>
      </c>
      <c r="H106" s="910" t="s">
        <v>1565</v>
      </c>
      <c r="I106" s="911" t="s">
        <v>1406</v>
      </c>
      <c r="J106" s="911" t="s">
        <v>1411</v>
      </c>
      <c r="K106" s="879">
        <v>1</v>
      </c>
      <c r="L106" s="878">
        <v>12</v>
      </c>
      <c r="M106" s="880">
        <v>67722</v>
      </c>
      <c r="N106" s="879">
        <v>1</v>
      </c>
      <c r="O106" s="878">
        <v>6</v>
      </c>
      <c r="P106" s="880">
        <v>36000</v>
      </c>
    </row>
    <row r="107" spans="1:16" ht="18" customHeight="1">
      <c r="A107" s="924" t="s">
        <v>2732</v>
      </c>
      <c r="B107" s="908" t="s">
        <v>1402</v>
      </c>
      <c r="C107" s="908" t="s">
        <v>96</v>
      </c>
      <c r="D107" s="910" t="s">
        <v>1644</v>
      </c>
      <c r="E107" s="917">
        <v>15600</v>
      </c>
      <c r="F107" s="908">
        <v>15971061</v>
      </c>
      <c r="G107" s="910" t="s">
        <v>1645</v>
      </c>
      <c r="H107" s="910" t="s">
        <v>1417</v>
      </c>
      <c r="I107" s="911" t="s">
        <v>1406</v>
      </c>
      <c r="J107" s="911" t="s">
        <v>1411</v>
      </c>
      <c r="K107" s="879">
        <v>1</v>
      </c>
      <c r="L107" s="878">
        <v>2</v>
      </c>
      <c r="M107" s="880">
        <v>15080</v>
      </c>
      <c r="N107" s="879">
        <v>0</v>
      </c>
      <c r="O107" s="878" t="s">
        <v>2731</v>
      </c>
      <c r="P107" s="880">
        <v>0</v>
      </c>
    </row>
    <row r="108" spans="1:16" ht="24">
      <c r="A108" s="924" t="s">
        <v>2732</v>
      </c>
      <c r="B108" s="908" t="s">
        <v>1402</v>
      </c>
      <c r="C108" s="908" t="s">
        <v>96</v>
      </c>
      <c r="D108" s="910" t="s">
        <v>1646</v>
      </c>
      <c r="E108" s="917">
        <v>10000</v>
      </c>
      <c r="F108" s="908">
        <v>40442411</v>
      </c>
      <c r="G108" s="910" t="s">
        <v>1647</v>
      </c>
      <c r="H108" s="910" t="s">
        <v>1461</v>
      </c>
      <c r="I108" s="911" t="s">
        <v>1406</v>
      </c>
      <c r="J108" s="911" t="s">
        <v>1411</v>
      </c>
      <c r="K108" s="879">
        <v>1</v>
      </c>
      <c r="L108" s="878">
        <v>12</v>
      </c>
      <c r="M108" s="880">
        <v>118923.55</v>
      </c>
      <c r="N108" s="879">
        <v>1</v>
      </c>
      <c r="O108" s="878">
        <v>6</v>
      </c>
      <c r="P108" s="880">
        <v>60000</v>
      </c>
    </row>
    <row r="109" spans="1:16" ht="18" customHeight="1">
      <c r="A109" s="924" t="s">
        <v>2732</v>
      </c>
      <c r="B109" s="908" t="s">
        <v>1402</v>
      </c>
      <c r="C109" s="908" t="s">
        <v>96</v>
      </c>
      <c r="D109" s="910" t="s">
        <v>1648</v>
      </c>
      <c r="E109" s="917">
        <v>4500</v>
      </c>
      <c r="F109" s="908">
        <v>42677152</v>
      </c>
      <c r="G109" s="910" t="s">
        <v>1649</v>
      </c>
      <c r="H109" s="910" t="s">
        <v>1491</v>
      </c>
      <c r="I109" s="911" t="s">
        <v>1406</v>
      </c>
      <c r="J109" s="911" t="s">
        <v>1411</v>
      </c>
      <c r="K109" s="879">
        <v>1</v>
      </c>
      <c r="L109" s="878">
        <v>12</v>
      </c>
      <c r="M109" s="880">
        <v>54211.369999999995</v>
      </c>
      <c r="N109" s="879">
        <v>1</v>
      </c>
      <c r="O109" s="878">
        <v>6</v>
      </c>
      <c r="P109" s="880">
        <v>27000</v>
      </c>
    </row>
    <row r="110" spans="1:16" ht="18" customHeight="1">
      <c r="A110" s="924" t="s">
        <v>2732</v>
      </c>
      <c r="B110" s="908" t="s">
        <v>1402</v>
      </c>
      <c r="C110" s="908" t="s">
        <v>96</v>
      </c>
      <c r="D110" s="910" t="s">
        <v>1650</v>
      </c>
      <c r="E110" s="917">
        <v>15600</v>
      </c>
      <c r="F110" s="908">
        <v>7720897</v>
      </c>
      <c r="G110" s="910" t="s">
        <v>1651</v>
      </c>
      <c r="H110" s="910" t="s">
        <v>1652</v>
      </c>
      <c r="I110" s="911" t="s">
        <v>1406</v>
      </c>
      <c r="J110" s="911" t="s">
        <v>1411</v>
      </c>
      <c r="K110" s="879">
        <v>1</v>
      </c>
      <c r="L110" s="878">
        <v>8</v>
      </c>
      <c r="M110" s="880">
        <v>126140</v>
      </c>
      <c r="N110" s="879">
        <v>0</v>
      </c>
      <c r="O110" s="878" t="s">
        <v>2731</v>
      </c>
      <c r="P110" s="880">
        <v>0</v>
      </c>
    </row>
    <row r="111" spans="1:16" ht="24">
      <c r="A111" s="924" t="s">
        <v>2732</v>
      </c>
      <c r="B111" s="908" t="s">
        <v>1402</v>
      </c>
      <c r="C111" s="908" t="s">
        <v>96</v>
      </c>
      <c r="D111" s="910" t="s">
        <v>1653</v>
      </c>
      <c r="E111" s="917">
        <v>11500</v>
      </c>
      <c r="F111" s="908">
        <v>44407277</v>
      </c>
      <c r="G111" s="910" t="s">
        <v>1654</v>
      </c>
      <c r="H111" s="910" t="s">
        <v>1584</v>
      </c>
      <c r="I111" s="911" t="s">
        <v>1406</v>
      </c>
      <c r="J111" s="911" t="s">
        <v>1411</v>
      </c>
      <c r="K111" s="879">
        <v>1</v>
      </c>
      <c r="L111" s="878">
        <v>12</v>
      </c>
      <c r="M111" s="880">
        <v>98417.78</v>
      </c>
      <c r="N111" s="879">
        <v>1</v>
      </c>
      <c r="O111" s="878">
        <v>6</v>
      </c>
      <c r="P111" s="880">
        <v>69000</v>
      </c>
    </row>
    <row r="112" spans="1:16" ht="24">
      <c r="A112" s="924" t="s">
        <v>2732</v>
      </c>
      <c r="B112" s="908" t="s">
        <v>1402</v>
      </c>
      <c r="C112" s="908" t="s">
        <v>96</v>
      </c>
      <c r="D112" s="910" t="s">
        <v>1655</v>
      </c>
      <c r="E112" s="917">
        <v>7500</v>
      </c>
      <c r="F112" s="908">
        <v>8121552</v>
      </c>
      <c r="G112" s="910" t="s">
        <v>1656</v>
      </c>
      <c r="H112" s="910" t="s">
        <v>1410</v>
      </c>
      <c r="I112" s="911" t="s">
        <v>1406</v>
      </c>
      <c r="J112" s="911" t="s">
        <v>1420</v>
      </c>
      <c r="K112" s="879">
        <v>1</v>
      </c>
      <c r="L112" s="878">
        <v>4</v>
      </c>
      <c r="M112" s="880">
        <v>29000</v>
      </c>
      <c r="N112" s="879">
        <v>1</v>
      </c>
      <c r="O112" s="878">
        <v>6</v>
      </c>
      <c r="P112" s="880">
        <v>45000</v>
      </c>
    </row>
    <row r="113" spans="1:16" ht="18" customHeight="1">
      <c r="A113" s="924" t="s">
        <v>2732</v>
      </c>
      <c r="B113" s="908" t="s">
        <v>1402</v>
      </c>
      <c r="C113" s="908" t="s">
        <v>96</v>
      </c>
      <c r="D113" s="910" t="s">
        <v>1657</v>
      </c>
      <c r="E113" s="917">
        <v>3500</v>
      </c>
      <c r="F113" s="908">
        <v>40460583</v>
      </c>
      <c r="G113" s="910" t="s">
        <v>1658</v>
      </c>
      <c r="H113" s="910" t="s">
        <v>1414</v>
      </c>
      <c r="I113" s="911" t="s">
        <v>1480</v>
      </c>
      <c r="J113" s="911" t="s">
        <v>1532</v>
      </c>
      <c r="K113" s="879">
        <v>1</v>
      </c>
      <c r="L113" s="878">
        <v>6</v>
      </c>
      <c r="M113" s="880">
        <v>20183.330000000002</v>
      </c>
      <c r="N113" s="879">
        <v>1</v>
      </c>
      <c r="O113" s="878">
        <v>6</v>
      </c>
      <c r="P113" s="880">
        <v>21000</v>
      </c>
    </row>
    <row r="114" spans="1:16" ht="18" customHeight="1">
      <c r="A114" s="924" t="s">
        <v>2732</v>
      </c>
      <c r="B114" s="908" t="s">
        <v>1402</v>
      </c>
      <c r="C114" s="908" t="s">
        <v>96</v>
      </c>
      <c r="D114" s="910" t="s">
        <v>1659</v>
      </c>
      <c r="E114" s="917">
        <v>10000</v>
      </c>
      <c r="F114" s="908">
        <v>40203314</v>
      </c>
      <c r="G114" s="910" t="s">
        <v>1660</v>
      </c>
      <c r="H114" s="910" t="s">
        <v>1410</v>
      </c>
      <c r="I114" s="911" t="s">
        <v>1406</v>
      </c>
      <c r="J114" s="911" t="s">
        <v>1420</v>
      </c>
      <c r="K114" s="879">
        <v>1</v>
      </c>
      <c r="L114" s="878">
        <v>6</v>
      </c>
      <c r="M114" s="880">
        <v>57666.67</v>
      </c>
      <c r="N114" s="879">
        <v>1</v>
      </c>
      <c r="O114" s="878">
        <v>6</v>
      </c>
      <c r="P114" s="880">
        <v>60000</v>
      </c>
    </row>
    <row r="115" spans="1:16" ht="24">
      <c r="A115" s="924" t="s">
        <v>2732</v>
      </c>
      <c r="B115" s="908" t="s">
        <v>1402</v>
      </c>
      <c r="C115" s="908" t="s">
        <v>96</v>
      </c>
      <c r="D115" s="910" t="s">
        <v>1661</v>
      </c>
      <c r="E115" s="917">
        <v>15600</v>
      </c>
      <c r="F115" s="908">
        <v>41334032</v>
      </c>
      <c r="G115" s="910" t="s">
        <v>1662</v>
      </c>
      <c r="H115" s="910" t="s">
        <v>1483</v>
      </c>
      <c r="I115" s="911" t="s">
        <v>1406</v>
      </c>
      <c r="J115" s="911" t="s">
        <v>1411</v>
      </c>
      <c r="K115" s="879">
        <v>0</v>
      </c>
      <c r="L115" s="878" t="s">
        <v>2731</v>
      </c>
      <c r="M115" s="880">
        <v>0</v>
      </c>
      <c r="N115" s="879">
        <v>1</v>
      </c>
      <c r="O115" s="878">
        <v>4</v>
      </c>
      <c r="P115" s="880">
        <v>63440</v>
      </c>
    </row>
    <row r="116" spans="1:16" ht="24">
      <c r="A116" s="924" t="s">
        <v>2732</v>
      </c>
      <c r="B116" s="908" t="s">
        <v>1402</v>
      </c>
      <c r="C116" s="908" t="s">
        <v>96</v>
      </c>
      <c r="D116" s="910" t="s">
        <v>1663</v>
      </c>
      <c r="E116" s="917">
        <v>15600</v>
      </c>
      <c r="F116" s="908">
        <v>9126344</v>
      </c>
      <c r="G116" s="910" t="s">
        <v>1664</v>
      </c>
      <c r="H116" s="910" t="s">
        <v>1417</v>
      </c>
      <c r="I116" s="911" t="s">
        <v>1406</v>
      </c>
      <c r="J116" s="911" t="s">
        <v>1411</v>
      </c>
      <c r="K116" s="879">
        <v>1</v>
      </c>
      <c r="L116" s="878">
        <v>2</v>
      </c>
      <c r="M116" s="880">
        <v>32860</v>
      </c>
      <c r="N116" s="879">
        <v>1</v>
      </c>
      <c r="O116" s="878">
        <v>1</v>
      </c>
      <c r="P116" s="880">
        <v>7280</v>
      </c>
    </row>
    <row r="117" spans="1:16" ht="18" customHeight="1">
      <c r="A117" s="924" t="s">
        <v>2732</v>
      </c>
      <c r="B117" s="908" t="s">
        <v>1402</v>
      </c>
      <c r="C117" s="908" t="s">
        <v>96</v>
      </c>
      <c r="D117" s="910" t="s">
        <v>1665</v>
      </c>
      <c r="E117" s="917">
        <v>9000</v>
      </c>
      <c r="F117" s="908">
        <v>10270447</v>
      </c>
      <c r="G117" s="910" t="s">
        <v>1666</v>
      </c>
      <c r="H117" s="910" t="s">
        <v>1667</v>
      </c>
      <c r="I117" s="911" t="s">
        <v>1406</v>
      </c>
      <c r="J117" s="911" t="s">
        <v>1411</v>
      </c>
      <c r="K117" s="879">
        <v>1</v>
      </c>
      <c r="L117" s="878">
        <v>7</v>
      </c>
      <c r="M117" s="880">
        <v>63815.06</v>
      </c>
      <c r="N117" s="879">
        <v>1</v>
      </c>
      <c r="O117" s="878">
        <v>2</v>
      </c>
      <c r="P117" s="880">
        <v>12300</v>
      </c>
    </row>
    <row r="118" spans="1:16" ht="24">
      <c r="A118" s="924" t="s">
        <v>2732</v>
      </c>
      <c r="B118" s="908" t="s">
        <v>1402</v>
      </c>
      <c r="C118" s="908" t="s">
        <v>96</v>
      </c>
      <c r="D118" s="910" t="s">
        <v>1430</v>
      </c>
      <c r="E118" s="917">
        <v>3500</v>
      </c>
      <c r="F118" s="908">
        <v>43514751</v>
      </c>
      <c r="G118" s="910" t="s">
        <v>1668</v>
      </c>
      <c r="H118" s="910" t="s">
        <v>1491</v>
      </c>
      <c r="I118" s="911" t="s">
        <v>1420</v>
      </c>
      <c r="J118" s="911" t="s">
        <v>1420</v>
      </c>
      <c r="K118" s="879">
        <v>1</v>
      </c>
      <c r="L118" s="878">
        <v>2</v>
      </c>
      <c r="M118" s="880">
        <v>8050</v>
      </c>
      <c r="N118" s="879">
        <v>1</v>
      </c>
      <c r="O118" s="878">
        <v>6</v>
      </c>
      <c r="P118" s="880">
        <v>21000</v>
      </c>
    </row>
    <row r="119" spans="1:16" ht="18" customHeight="1">
      <c r="A119" s="924" t="s">
        <v>2732</v>
      </c>
      <c r="B119" s="908" t="s">
        <v>1402</v>
      </c>
      <c r="C119" s="908" t="s">
        <v>96</v>
      </c>
      <c r="D119" s="910" t="s">
        <v>1606</v>
      </c>
      <c r="E119" s="917">
        <v>8000</v>
      </c>
      <c r="F119" s="908">
        <v>45795130</v>
      </c>
      <c r="G119" s="910" t="s">
        <v>1669</v>
      </c>
      <c r="H119" s="910" t="s">
        <v>1670</v>
      </c>
      <c r="I119" s="911" t="s">
        <v>1406</v>
      </c>
      <c r="J119" s="911" t="s">
        <v>1420</v>
      </c>
      <c r="K119" s="879">
        <v>1</v>
      </c>
      <c r="L119" s="878">
        <v>6</v>
      </c>
      <c r="M119" s="880">
        <v>46133.33</v>
      </c>
      <c r="N119" s="879">
        <v>1</v>
      </c>
      <c r="O119" s="878">
        <v>6</v>
      </c>
      <c r="P119" s="880">
        <v>48000</v>
      </c>
    </row>
    <row r="120" spans="1:16" ht="18" customHeight="1">
      <c r="A120" s="924" t="s">
        <v>2732</v>
      </c>
      <c r="B120" s="908" t="s">
        <v>1402</v>
      </c>
      <c r="C120" s="908" t="s">
        <v>96</v>
      </c>
      <c r="D120" s="910" t="s">
        <v>1671</v>
      </c>
      <c r="E120" s="917">
        <v>7000</v>
      </c>
      <c r="F120" s="908">
        <v>42878949</v>
      </c>
      <c r="G120" s="910" t="s">
        <v>1672</v>
      </c>
      <c r="H120" s="910" t="s">
        <v>1410</v>
      </c>
      <c r="I120" s="911" t="s">
        <v>1406</v>
      </c>
      <c r="J120" s="911" t="s">
        <v>1411</v>
      </c>
      <c r="K120" s="879">
        <v>1</v>
      </c>
      <c r="L120" s="878">
        <v>12</v>
      </c>
      <c r="M120" s="880">
        <v>84300</v>
      </c>
      <c r="N120" s="879">
        <v>1</v>
      </c>
      <c r="O120" s="878">
        <v>6</v>
      </c>
      <c r="P120" s="880">
        <v>42000</v>
      </c>
    </row>
    <row r="121" spans="1:16" ht="24">
      <c r="A121" s="924" t="s">
        <v>2732</v>
      </c>
      <c r="B121" s="908" t="s">
        <v>1402</v>
      </c>
      <c r="C121" s="908" t="s">
        <v>96</v>
      </c>
      <c r="D121" s="910" t="s">
        <v>1673</v>
      </c>
      <c r="E121" s="917">
        <v>12000</v>
      </c>
      <c r="F121" s="908">
        <v>2038072</v>
      </c>
      <c r="G121" s="910" t="s">
        <v>1674</v>
      </c>
      <c r="H121" s="910" t="s">
        <v>1442</v>
      </c>
      <c r="I121" s="911" t="s">
        <v>1480</v>
      </c>
      <c r="J121" s="911" t="s">
        <v>1411</v>
      </c>
      <c r="K121" s="879">
        <v>1</v>
      </c>
      <c r="L121" s="878">
        <v>12</v>
      </c>
      <c r="M121" s="880">
        <v>144300</v>
      </c>
      <c r="N121" s="879">
        <v>1</v>
      </c>
      <c r="O121" s="878">
        <v>6</v>
      </c>
      <c r="P121" s="880">
        <v>72000</v>
      </c>
    </row>
    <row r="122" spans="1:16" ht="18" customHeight="1">
      <c r="A122" s="924" t="s">
        <v>2732</v>
      </c>
      <c r="B122" s="908" t="s">
        <v>1402</v>
      </c>
      <c r="C122" s="908" t="s">
        <v>96</v>
      </c>
      <c r="D122" s="910" t="s">
        <v>1675</v>
      </c>
      <c r="E122" s="917">
        <v>15600</v>
      </c>
      <c r="F122" s="908">
        <v>7571430</v>
      </c>
      <c r="G122" s="910" t="s">
        <v>1676</v>
      </c>
      <c r="H122" s="910" t="s">
        <v>1504</v>
      </c>
      <c r="I122" s="911" t="s">
        <v>1406</v>
      </c>
      <c r="J122" s="911" t="s">
        <v>1411</v>
      </c>
      <c r="K122" s="879">
        <v>1</v>
      </c>
      <c r="L122" s="878">
        <v>1</v>
      </c>
      <c r="M122" s="880">
        <v>3120</v>
      </c>
      <c r="N122" s="879">
        <v>0</v>
      </c>
      <c r="O122" s="878" t="s">
        <v>2731</v>
      </c>
      <c r="P122" s="880">
        <v>0</v>
      </c>
    </row>
    <row r="123" spans="1:16" ht="18" customHeight="1">
      <c r="A123" s="924" t="s">
        <v>2732</v>
      </c>
      <c r="B123" s="908" t="s">
        <v>1402</v>
      </c>
      <c r="C123" s="908" t="s">
        <v>96</v>
      </c>
      <c r="D123" s="910" t="s">
        <v>1677</v>
      </c>
      <c r="E123" s="917">
        <v>2500</v>
      </c>
      <c r="F123" s="908">
        <v>9131085</v>
      </c>
      <c r="G123" s="910" t="s">
        <v>1678</v>
      </c>
      <c r="H123" s="910" t="s">
        <v>21</v>
      </c>
      <c r="I123" s="911" t="s">
        <v>1452</v>
      </c>
      <c r="J123" s="911" t="s">
        <v>1679</v>
      </c>
      <c r="K123" s="879">
        <v>1</v>
      </c>
      <c r="L123" s="878">
        <v>12</v>
      </c>
      <c r="M123" s="880">
        <v>30206.67</v>
      </c>
      <c r="N123" s="879">
        <v>1</v>
      </c>
      <c r="O123" s="878">
        <v>6</v>
      </c>
      <c r="P123" s="880">
        <v>15000</v>
      </c>
    </row>
    <row r="124" spans="1:16" ht="18" customHeight="1">
      <c r="A124" s="924" t="s">
        <v>2732</v>
      </c>
      <c r="B124" s="908" t="s">
        <v>1402</v>
      </c>
      <c r="C124" s="908" t="s">
        <v>96</v>
      </c>
      <c r="D124" s="910" t="s">
        <v>1680</v>
      </c>
      <c r="E124" s="917">
        <v>3000</v>
      </c>
      <c r="F124" s="908">
        <v>70656474</v>
      </c>
      <c r="G124" s="910" t="s">
        <v>1681</v>
      </c>
      <c r="H124" s="910" t="s">
        <v>1682</v>
      </c>
      <c r="I124" s="911" t="s">
        <v>1424</v>
      </c>
      <c r="J124" s="911" t="s">
        <v>1411</v>
      </c>
      <c r="K124" s="879">
        <v>1</v>
      </c>
      <c r="L124" s="878">
        <v>12</v>
      </c>
      <c r="M124" s="880">
        <v>36149.370000000003</v>
      </c>
      <c r="N124" s="879">
        <v>1</v>
      </c>
      <c r="O124" s="878">
        <v>6</v>
      </c>
      <c r="P124" s="880">
        <v>18000</v>
      </c>
    </row>
    <row r="125" spans="1:16" ht="24">
      <c r="A125" s="924" t="s">
        <v>2732</v>
      </c>
      <c r="B125" s="908" t="s">
        <v>1402</v>
      </c>
      <c r="C125" s="908" t="s">
        <v>96</v>
      </c>
      <c r="D125" s="910" t="s">
        <v>1683</v>
      </c>
      <c r="E125" s="917">
        <v>4000</v>
      </c>
      <c r="F125" s="908">
        <v>73031858</v>
      </c>
      <c r="G125" s="910" t="s">
        <v>1684</v>
      </c>
      <c r="H125" s="910" t="s">
        <v>1417</v>
      </c>
      <c r="I125" s="911" t="s">
        <v>1420</v>
      </c>
      <c r="J125" s="911" t="s">
        <v>1420</v>
      </c>
      <c r="K125" s="879">
        <v>1</v>
      </c>
      <c r="L125" s="878">
        <v>3</v>
      </c>
      <c r="M125" s="880">
        <v>10666.59</v>
      </c>
      <c r="N125" s="879">
        <v>1</v>
      </c>
      <c r="O125" s="878">
        <v>6</v>
      </c>
      <c r="P125" s="880">
        <v>23608.89</v>
      </c>
    </row>
    <row r="126" spans="1:16" ht="18" customHeight="1">
      <c r="A126" s="924" t="s">
        <v>2732</v>
      </c>
      <c r="B126" s="908" t="s">
        <v>1402</v>
      </c>
      <c r="C126" s="908" t="s">
        <v>96</v>
      </c>
      <c r="D126" s="910" t="s">
        <v>1685</v>
      </c>
      <c r="E126" s="917">
        <v>14500</v>
      </c>
      <c r="F126" s="908">
        <v>40924809</v>
      </c>
      <c r="G126" s="910" t="s">
        <v>1686</v>
      </c>
      <c r="H126" s="910" t="s">
        <v>1410</v>
      </c>
      <c r="I126" s="911" t="s">
        <v>1406</v>
      </c>
      <c r="J126" s="911" t="s">
        <v>1411</v>
      </c>
      <c r="K126" s="879">
        <v>1</v>
      </c>
      <c r="L126" s="878">
        <v>12</v>
      </c>
      <c r="M126" s="880">
        <v>145100</v>
      </c>
      <c r="N126" s="879">
        <v>1</v>
      </c>
      <c r="O126" s="878">
        <v>6</v>
      </c>
      <c r="P126" s="880">
        <v>87000</v>
      </c>
    </row>
    <row r="127" spans="1:16" ht="18" customHeight="1">
      <c r="A127" s="924" t="s">
        <v>2732</v>
      </c>
      <c r="B127" s="908" t="s">
        <v>1402</v>
      </c>
      <c r="C127" s="908" t="s">
        <v>96</v>
      </c>
      <c r="D127" s="910" t="s">
        <v>1687</v>
      </c>
      <c r="E127" s="917">
        <v>8000</v>
      </c>
      <c r="F127" s="908">
        <v>42515138</v>
      </c>
      <c r="G127" s="910" t="s">
        <v>1688</v>
      </c>
      <c r="H127" s="910" t="s">
        <v>1461</v>
      </c>
      <c r="I127" s="911" t="s">
        <v>1406</v>
      </c>
      <c r="J127" s="911" t="s">
        <v>1420</v>
      </c>
      <c r="K127" s="879">
        <v>1</v>
      </c>
      <c r="L127" s="878">
        <v>4</v>
      </c>
      <c r="M127" s="880">
        <v>30933.33</v>
      </c>
      <c r="N127" s="879">
        <v>1</v>
      </c>
      <c r="O127" s="878">
        <v>6</v>
      </c>
      <c r="P127" s="880">
        <v>47733.33</v>
      </c>
    </row>
    <row r="128" spans="1:16" ht="18" customHeight="1">
      <c r="A128" s="924" t="s">
        <v>2732</v>
      </c>
      <c r="B128" s="908" t="s">
        <v>1402</v>
      </c>
      <c r="C128" s="908" t="s">
        <v>96</v>
      </c>
      <c r="D128" s="910" t="s">
        <v>1561</v>
      </c>
      <c r="E128" s="917">
        <v>5000</v>
      </c>
      <c r="F128" s="908">
        <v>41144509</v>
      </c>
      <c r="G128" s="910" t="s">
        <v>1689</v>
      </c>
      <c r="H128" s="910" t="s">
        <v>1410</v>
      </c>
      <c r="I128" s="911" t="s">
        <v>1406</v>
      </c>
      <c r="J128" s="911" t="s">
        <v>1411</v>
      </c>
      <c r="K128" s="879">
        <v>1</v>
      </c>
      <c r="L128" s="878">
        <v>12</v>
      </c>
      <c r="M128" s="880">
        <v>60133.33</v>
      </c>
      <c r="N128" s="879">
        <v>1</v>
      </c>
      <c r="O128" s="878">
        <v>6</v>
      </c>
      <c r="P128" s="880">
        <v>30000</v>
      </c>
    </row>
    <row r="129" spans="1:16" ht="18" customHeight="1">
      <c r="A129" s="924" t="s">
        <v>2732</v>
      </c>
      <c r="B129" s="908" t="s">
        <v>1402</v>
      </c>
      <c r="C129" s="908" t="s">
        <v>96</v>
      </c>
      <c r="D129" s="910" t="s">
        <v>1502</v>
      </c>
      <c r="E129" s="917">
        <v>10000</v>
      </c>
      <c r="F129" s="908">
        <v>23950624</v>
      </c>
      <c r="G129" s="910" t="s">
        <v>1690</v>
      </c>
      <c r="H129" s="910" t="s">
        <v>1442</v>
      </c>
      <c r="I129" s="911" t="s">
        <v>1420</v>
      </c>
      <c r="J129" s="911" t="s">
        <v>1411</v>
      </c>
      <c r="K129" s="879">
        <v>1</v>
      </c>
      <c r="L129" s="878">
        <v>12</v>
      </c>
      <c r="M129" s="880">
        <v>120300</v>
      </c>
      <c r="N129" s="879">
        <v>1</v>
      </c>
      <c r="O129" s="878">
        <v>6</v>
      </c>
      <c r="P129" s="880">
        <v>60000</v>
      </c>
    </row>
    <row r="130" spans="1:16" ht="18" customHeight="1">
      <c r="A130" s="924" t="s">
        <v>2732</v>
      </c>
      <c r="B130" s="908" t="s">
        <v>1402</v>
      </c>
      <c r="C130" s="908" t="s">
        <v>96</v>
      </c>
      <c r="D130" s="910" t="s">
        <v>1691</v>
      </c>
      <c r="E130" s="917">
        <v>8000</v>
      </c>
      <c r="F130" s="908">
        <v>21263814</v>
      </c>
      <c r="G130" s="910" t="s">
        <v>1692</v>
      </c>
      <c r="H130" s="910" t="s">
        <v>1414</v>
      </c>
      <c r="I130" s="911" t="s">
        <v>1420</v>
      </c>
      <c r="J130" s="911" t="s">
        <v>1420</v>
      </c>
      <c r="K130" s="879">
        <v>1</v>
      </c>
      <c r="L130" s="878">
        <v>6</v>
      </c>
      <c r="M130" s="880">
        <v>46133.33</v>
      </c>
      <c r="N130" s="879">
        <v>1</v>
      </c>
      <c r="O130" s="878">
        <v>6</v>
      </c>
      <c r="P130" s="880">
        <v>48000</v>
      </c>
    </row>
    <row r="131" spans="1:16" ht="24">
      <c r="A131" s="924" t="s">
        <v>2732</v>
      </c>
      <c r="B131" s="908" t="s">
        <v>1402</v>
      </c>
      <c r="C131" s="908" t="s">
        <v>96</v>
      </c>
      <c r="D131" s="910" t="s">
        <v>1693</v>
      </c>
      <c r="E131" s="917">
        <v>15600</v>
      </c>
      <c r="F131" s="908">
        <v>6289341</v>
      </c>
      <c r="G131" s="910" t="s">
        <v>1694</v>
      </c>
      <c r="H131" s="910" t="s">
        <v>1695</v>
      </c>
      <c r="I131" s="911" t="s">
        <v>1406</v>
      </c>
      <c r="J131" s="911" t="s">
        <v>1411</v>
      </c>
      <c r="K131" s="879">
        <v>1</v>
      </c>
      <c r="L131" s="878">
        <v>1</v>
      </c>
      <c r="M131" s="880">
        <v>9360</v>
      </c>
      <c r="N131" s="879">
        <v>0</v>
      </c>
      <c r="O131" s="878" t="s">
        <v>2731</v>
      </c>
      <c r="P131" s="880">
        <v>0</v>
      </c>
    </row>
    <row r="132" spans="1:16" ht="18" customHeight="1">
      <c r="A132" s="924" t="s">
        <v>2732</v>
      </c>
      <c r="B132" s="908" t="s">
        <v>1402</v>
      </c>
      <c r="C132" s="908" t="s">
        <v>96</v>
      </c>
      <c r="D132" s="910" t="s">
        <v>1696</v>
      </c>
      <c r="E132" s="917">
        <v>7000</v>
      </c>
      <c r="F132" s="908">
        <v>8705645</v>
      </c>
      <c r="G132" s="910" t="s">
        <v>1697</v>
      </c>
      <c r="H132" s="910" t="s">
        <v>1570</v>
      </c>
      <c r="I132" s="911" t="s">
        <v>1406</v>
      </c>
      <c r="J132" s="911" t="s">
        <v>1411</v>
      </c>
      <c r="K132" s="879">
        <v>1</v>
      </c>
      <c r="L132" s="878">
        <v>3</v>
      </c>
      <c r="M132" s="880">
        <v>21000</v>
      </c>
      <c r="N132" s="879">
        <v>0</v>
      </c>
      <c r="O132" s="878" t="s">
        <v>2731</v>
      </c>
      <c r="P132" s="880">
        <v>0</v>
      </c>
    </row>
    <row r="133" spans="1:16" ht="18" customHeight="1">
      <c r="A133" s="924" t="s">
        <v>2732</v>
      </c>
      <c r="B133" s="908" t="s">
        <v>1402</v>
      </c>
      <c r="C133" s="908" t="s">
        <v>96</v>
      </c>
      <c r="D133" s="910" t="s">
        <v>1698</v>
      </c>
      <c r="E133" s="917">
        <v>7000</v>
      </c>
      <c r="F133" s="908">
        <v>45338641</v>
      </c>
      <c r="G133" s="910" t="s">
        <v>1699</v>
      </c>
      <c r="H133" s="910" t="s">
        <v>1410</v>
      </c>
      <c r="I133" s="911" t="s">
        <v>1406</v>
      </c>
      <c r="J133" s="911" t="s">
        <v>1420</v>
      </c>
      <c r="K133" s="879">
        <v>1</v>
      </c>
      <c r="L133" s="878">
        <v>2</v>
      </c>
      <c r="M133" s="880">
        <v>19133.259999999998</v>
      </c>
      <c r="N133" s="879">
        <v>1</v>
      </c>
      <c r="O133" s="878">
        <v>6</v>
      </c>
      <c r="P133" s="880">
        <v>42000</v>
      </c>
    </row>
    <row r="134" spans="1:16" ht="18" customHeight="1">
      <c r="A134" s="924" t="s">
        <v>2732</v>
      </c>
      <c r="B134" s="908" t="s">
        <v>1402</v>
      </c>
      <c r="C134" s="908" t="s">
        <v>96</v>
      </c>
      <c r="D134" s="910" t="s">
        <v>1700</v>
      </c>
      <c r="E134" s="917">
        <v>15600</v>
      </c>
      <c r="F134" s="908">
        <v>7863324</v>
      </c>
      <c r="G134" s="910" t="s">
        <v>1701</v>
      </c>
      <c r="H134" s="910" t="s">
        <v>1410</v>
      </c>
      <c r="I134" s="911" t="s">
        <v>1406</v>
      </c>
      <c r="J134" s="911" t="s">
        <v>1411</v>
      </c>
      <c r="K134" s="879">
        <v>1</v>
      </c>
      <c r="L134" s="878">
        <v>2</v>
      </c>
      <c r="M134" s="880">
        <v>29640</v>
      </c>
      <c r="N134" s="879">
        <v>0</v>
      </c>
      <c r="O134" s="878" t="s">
        <v>2731</v>
      </c>
      <c r="P134" s="880">
        <v>0</v>
      </c>
    </row>
    <row r="135" spans="1:16" ht="18" customHeight="1">
      <c r="A135" s="924" t="s">
        <v>2732</v>
      </c>
      <c r="B135" s="908" t="s">
        <v>1402</v>
      </c>
      <c r="C135" s="908" t="s">
        <v>96</v>
      </c>
      <c r="D135" s="910" t="s">
        <v>1702</v>
      </c>
      <c r="E135" s="917">
        <v>6500</v>
      </c>
      <c r="F135" s="908">
        <v>15766300</v>
      </c>
      <c r="G135" s="910" t="s">
        <v>1703</v>
      </c>
      <c r="H135" s="910" t="s">
        <v>1560</v>
      </c>
      <c r="I135" s="911" t="s">
        <v>1480</v>
      </c>
      <c r="J135" s="911" t="s">
        <v>1411</v>
      </c>
      <c r="K135" s="879">
        <v>1</v>
      </c>
      <c r="L135" s="878">
        <v>12</v>
      </c>
      <c r="M135" s="880">
        <v>78300</v>
      </c>
      <c r="N135" s="879">
        <v>1</v>
      </c>
      <c r="O135" s="878">
        <v>6</v>
      </c>
      <c r="P135" s="880">
        <v>39000</v>
      </c>
    </row>
    <row r="136" spans="1:16" ht="18" customHeight="1">
      <c r="A136" s="924" t="s">
        <v>2732</v>
      </c>
      <c r="B136" s="908" t="s">
        <v>1402</v>
      </c>
      <c r="C136" s="908" t="s">
        <v>96</v>
      </c>
      <c r="D136" s="910" t="s">
        <v>1554</v>
      </c>
      <c r="E136" s="917">
        <v>3500</v>
      </c>
      <c r="F136" s="908">
        <v>40636294</v>
      </c>
      <c r="G136" s="910" t="s">
        <v>1704</v>
      </c>
      <c r="H136" s="910"/>
      <c r="I136" s="911"/>
      <c r="J136" s="911"/>
      <c r="K136" s="879">
        <v>1</v>
      </c>
      <c r="L136" s="878">
        <v>9</v>
      </c>
      <c r="M136" s="880">
        <v>30627.760000000002</v>
      </c>
      <c r="N136" s="879">
        <v>1</v>
      </c>
      <c r="O136" s="878">
        <v>6</v>
      </c>
      <c r="P136" s="880">
        <v>21000</v>
      </c>
    </row>
    <row r="137" spans="1:16" ht="18" customHeight="1">
      <c r="A137" s="924" t="s">
        <v>2732</v>
      </c>
      <c r="B137" s="908" t="s">
        <v>1402</v>
      </c>
      <c r="C137" s="908" t="s">
        <v>96</v>
      </c>
      <c r="D137" s="910" t="s">
        <v>1561</v>
      </c>
      <c r="E137" s="917">
        <v>5000</v>
      </c>
      <c r="F137" s="908">
        <v>45545499</v>
      </c>
      <c r="G137" s="910" t="s">
        <v>1705</v>
      </c>
      <c r="H137" s="910" t="s">
        <v>1410</v>
      </c>
      <c r="I137" s="911" t="s">
        <v>1406</v>
      </c>
      <c r="J137" s="911" t="s">
        <v>1411</v>
      </c>
      <c r="K137" s="879">
        <v>1</v>
      </c>
      <c r="L137" s="878">
        <v>12</v>
      </c>
      <c r="M137" s="880">
        <v>60300</v>
      </c>
      <c r="N137" s="879">
        <v>1</v>
      </c>
      <c r="O137" s="878">
        <v>6</v>
      </c>
      <c r="P137" s="880">
        <v>30000</v>
      </c>
    </row>
    <row r="138" spans="1:16" ht="18" customHeight="1">
      <c r="A138" s="924" t="s">
        <v>2732</v>
      </c>
      <c r="B138" s="908" t="s">
        <v>1402</v>
      </c>
      <c r="C138" s="908" t="s">
        <v>96</v>
      </c>
      <c r="D138" s="910" t="s">
        <v>1706</v>
      </c>
      <c r="E138" s="917">
        <v>15000</v>
      </c>
      <c r="F138" s="908">
        <v>9533323</v>
      </c>
      <c r="G138" s="910" t="s">
        <v>1707</v>
      </c>
      <c r="H138" s="910" t="s">
        <v>1410</v>
      </c>
      <c r="I138" s="911" t="s">
        <v>1406</v>
      </c>
      <c r="J138" s="911" t="s">
        <v>1411</v>
      </c>
      <c r="K138" s="879">
        <v>1</v>
      </c>
      <c r="L138" s="878">
        <v>10</v>
      </c>
      <c r="M138" s="880">
        <v>155800</v>
      </c>
      <c r="N138" s="879">
        <v>1</v>
      </c>
      <c r="O138" s="878">
        <v>4</v>
      </c>
      <c r="P138" s="880">
        <v>60000</v>
      </c>
    </row>
    <row r="139" spans="1:16" ht="18" customHeight="1">
      <c r="A139" s="924" t="s">
        <v>2732</v>
      </c>
      <c r="B139" s="908" t="s">
        <v>1402</v>
      </c>
      <c r="C139" s="908" t="s">
        <v>96</v>
      </c>
      <c r="D139" s="910" t="s">
        <v>1708</v>
      </c>
      <c r="E139" s="917">
        <v>10000</v>
      </c>
      <c r="F139" s="908">
        <v>8214149</v>
      </c>
      <c r="G139" s="910" t="s">
        <v>1709</v>
      </c>
      <c r="H139" s="910" t="s">
        <v>1504</v>
      </c>
      <c r="I139" s="911" t="s">
        <v>1406</v>
      </c>
      <c r="J139" s="911" t="s">
        <v>1411</v>
      </c>
      <c r="K139" s="879">
        <v>1</v>
      </c>
      <c r="L139" s="878">
        <v>2</v>
      </c>
      <c r="M139" s="880">
        <v>25333.279999999999</v>
      </c>
      <c r="N139" s="879">
        <v>0</v>
      </c>
      <c r="O139" s="878" t="s">
        <v>2731</v>
      </c>
      <c r="P139" s="880">
        <v>0</v>
      </c>
    </row>
    <row r="140" spans="1:16" ht="18" customHeight="1">
      <c r="A140" s="924" t="s">
        <v>2732</v>
      </c>
      <c r="B140" s="908" t="s">
        <v>1402</v>
      </c>
      <c r="C140" s="908" t="s">
        <v>96</v>
      </c>
      <c r="D140" s="910" t="s">
        <v>1502</v>
      </c>
      <c r="E140" s="917">
        <v>8000</v>
      </c>
      <c r="F140" s="908">
        <v>41995128</v>
      </c>
      <c r="G140" s="910" t="s">
        <v>1710</v>
      </c>
      <c r="H140" s="910" t="s">
        <v>1458</v>
      </c>
      <c r="I140" s="911" t="s">
        <v>1406</v>
      </c>
      <c r="J140" s="911" t="s">
        <v>1411</v>
      </c>
      <c r="K140" s="879">
        <v>1</v>
      </c>
      <c r="L140" s="878">
        <v>12</v>
      </c>
      <c r="M140" s="880">
        <v>96033.33</v>
      </c>
      <c r="N140" s="879">
        <v>1</v>
      </c>
      <c r="O140" s="878">
        <v>6</v>
      </c>
      <c r="P140" s="880">
        <v>47867.22</v>
      </c>
    </row>
    <row r="141" spans="1:16" ht="18" customHeight="1">
      <c r="A141" s="924" t="s">
        <v>2732</v>
      </c>
      <c r="B141" s="908" t="s">
        <v>1402</v>
      </c>
      <c r="C141" s="908" t="s">
        <v>96</v>
      </c>
      <c r="D141" s="910" t="s">
        <v>1563</v>
      </c>
      <c r="E141" s="917">
        <v>3300</v>
      </c>
      <c r="F141" s="908">
        <v>46436722</v>
      </c>
      <c r="G141" s="910" t="s">
        <v>1711</v>
      </c>
      <c r="H141" s="910" t="s">
        <v>1565</v>
      </c>
      <c r="I141" s="911" t="s">
        <v>1420</v>
      </c>
      <c r="J141" s="911" t="s">
        <v>1420</v>
      </c>
      <c r="K141" s="879">
        <v>1</v>
      </c>
      <c r="L141" s="878">
        <v>6</v>
      </c>
      <c r="M141" s="880">
        <v>19465.5</v>
      </c>
      <c r="N141" s="879">
        <v>0</v>
      </c>
      <c r="O141" s="878" t="s">
        <v>2731</v>
      </c>
      <c r="P141" s="880">
        <v>0</v>
      </c>
    </row>
    <row r="142" spans="1:16" ht="18" customHeight="1">
      <c r="A142" s="924" t="s">
        <v>2732</v>
      </c>
      <c r="B142" s="908" t="s">
        <v>1402</v>
      </c>
      <c r="C142" s="908" t="s">
        <v>96</v>
      </c>
      <c r="D142" s="910" t="s">
        <v>1712</v>
      </c>
      <c r="E142" s="917">
        <v>3500</v>
      </c>
      <c r="F142" s="908">
        <v>9080353</v>
      </c>
      <c r="G142" s="910" t="s">
        <v>1713</v>
      </c>
      <c r="H142" s="910" t="s">
        <v>1565</v>
      </c>
      <c r="I142" s="911" t="s">
        <v>1480</v>
      </c>
      <c r="J142" s="911" t="s">
        <v>1411</v>
      </c>
      <c r="K142" s="879">
        <v>1</v>
      </c>
      <c r="L142" s="878">
        <v>2</v>
      </c>
      <c r="M142" s="880">
        <v>8166.67</v>
      </c>
      <c r="N142" s="879">
        <v>1</v>
      </c>
      <c r="O142" s="878">
        <v>6</v>
      </c>
      <c r="P142" s="880">
        <v>21000</v>
      </c>
    </row>
    <row r="143" spans="1:16" ht="24">
      <c r="A143" s="924" t="s">
        <v>2732</v>
      </c>
      <c r="B143" s="908" t="s">
        <v>1402</v>
      </c>
      <c r="C143" s="908" t="s">
        <v>96</v>
      </c>
      <c r="D143" s="910" t="s">
        <v>1714</v>
      </c>
      <c r="E143" s="917">
        <v>8000</v>
      </c>
      <c r="F143" s="908">
        <v>6910035</v>
      </c>
      <c r="G143" s="910" t="s">
        <v>1715</v>
      </c>
      <c r="H143" s="910" t="s">
        <v>1483</v>
      </c>
      <c r="I143" s="911" t="s">
        <v>1420</v>
      </c>
      <c r="J143" s="911" t="s">
        <v>1411</v>
      </c>
      <c r="K143" s="879">
        <v>1</v>
      </c>
      <c r="L143" s="878">
        <v>12</v>
      </c>
      <c r="M143" s="880">
        <v>96300</v>
      </c>
      <c r="N143" s="879">
        <v>1</v>
      </c>
      <c r="O143" s="878">
        <v>6</v>
      </c>
      <c r="P143" s="880">
        <v>48000</v>
      </c>
    </row>
    <row r="144" spans="1:16" ht="24">
      <c r="A144" s="924" t="s">
        <v>2732</v>
      </c>
      <c r="B144" s="908" t="s">
        <v>1402</v>
      </c>
      <c r="C144" s="908" t="s">
        <v>96</v>
      </c>
      <c r="D144" s="910" t="s">
        <v>1716</v>
      </c>
      <c r="E144" s="917">
        <v>7000</v>
      </c>
      <c r="F144" s="908">
        <v>40872858</v>
      </c>
      <c r="G144" s="910" t="s">
        <v>1717</v>
      </c>
      <c r="H144" s="910" t="s">
        <v>1432</v>
      </c>
      <c r="I144" s="911" t="s">
        <v>1420</v>
      </c>
      <c r="J144" s="911" t="s">
        <v>1407</v>
      </c>
      <c r="K144" s="879">
        <v>1</v>
      </c>
      <c r="L144" s="878">
        <v>12</v>
      </c>
      <c r="M144" s="880">
        <v>76106.67</v>
      </c>
      <c r="N144" s="879">
        <v>1</v>
      </c>
      <c r="O144" s="878">
        <v>6</v>
      </c>
      <c r="P144" s="880">
        <v>41766.67</v>
      </c>
    </row>
    <row r="145" spans="1:16">
      <c r="A145" s="924" t="s">
        <v>2732</v>
      </c>
      <c r="B145" s="908" t="s">
        <v>1402</v>
      </c>
      <c r="C145" s="908" t="s">
        <v>96</v>
      </c>
      <c r="D145" s="910" t="s">
        <v>1563</v>
      </c>
      <c r="E145" s="917">
        <v>2600</v>
      </c>
      <c r="F145" s="908">
        <v>43668478</v>
      </c>
      <c r="G145" s="910" t="s">
        <v>1718</v>
      </c>
      <c r="H145" s="910" t="s">
        <v>1477</v>
      </c>
      <c r="I145" s="911" t="s">
        <v>1406</v>
      </c>
      <c r="J145" s="911" t="s">
        <v>1407</v>
      </c>
      <c r="K145" s="879">
        <v>1</v>
      </c>
      <c r="L145" s="878">
        <v>12</v>
      </c>
      <c r="M145" s="880">
        <v>31500</v>
      </c>
      <c r="N145" s="879">
        <v>1</v>
      </c>
      <c r="O145" s="878">
        <v>6</v>
      </c>
      <c r="P145" s="880">
        <v>15600</v>
      </c>
    </row>
    <row r="146" spans="1:16" ht="24">
      <c r="A146" s="924" t="s">
        <v>2732</v>
      </c>
      <c r="B146" s="908" t="s">
        <v>1402</v>
      </c>
      <c r="C146" s="908" t="s">
        <v>96</v>
      </c>
      <c r="D146" s="910" t="s">
        <v>1719</v>
      </c>
      <c r="E146" s="917">
        <v>8000</v>
      </c>
      <c r="F146" s="908">
        <v>43602196</v>
      </c>
      <c r="G146" s="910" t="s">
        <v>1720</v>
      </c>
      <c r="H146" s="910" t="s">
        <v>1442</v>
      </c>
      <c r="I146" s="911" t="s">
        <v>1406</v>
      </c>
      <c r="J146" s="911" t="s">
        <v>1420</v>
      </c>
      <c r="K146" s="879">
        <v>1</v>
      </c>
      <c r="L146" s="878">
        <v>6</v>
      </c>
      <c r="M146" s="880">
        <v>45866.66</v>
      </c>
      <c r="N146" s="879">
        <v>1</v>
      </c>
      <c r="O146" s="878">
        <v>6</v>
      </c>
      <c r="P146" s="880">
        <v>48000</v>
      </c>
    </row>
    <row r="147" spans="1:16">
      <c r="A147" s="924" t="s">
        <v>2732</v>
      </c>
      <c r="B147" s="908" t="s">
        <v>1402</v>
      </c>
      <c r="C147" s="908" t="s">
        <v>96</v>
      </c>
      <c r="D147" s="910" t="s">
        <v>1721</v>
      </c>
      <c r="E147" s="917">
        <v>1800</v>
      </c>
      <c r="F147" s="908">
        <v>10723691</v>
      </c>
      <c r="G147" s="910" t="s">
        <v>1722</v>
      </c>
      <c r="H147" s="910" t="s">
        <v>1432</v>
      </c>
      <c r="I147" s="911" t="s">
        <v>1480</v>
      </c>
      <c r="J147" s="911" t="s">
        <v>1407</v>
      </c>
      <c r="K147" s="879">
        <v>1</v>
      </c>
      <c r="L147" s="878">
        <v>4</v>
      </c>
      <c r="M147" s="880">
        <v>6960</v>
      </c>
      <c r="N147" s="879">
        <v>1</v>
      </c>
      <c r="O147" s="878">
        <v>6</v>
      </c>
      <c r="P147" s="880">
        <v>10800</v>
      </c>
    </row>
    <row r="148" spans="1:16" ht="24">
      <c r="A148" s="924" t="s">
        <v>2732</v>
      </c>
      <c r="B148" s="908" t="s">
        <v>1402</v>
      </c>
      <c r="C148" s="908" t="s">
        <v>96</v>
      </c>
      <c r="D148" s="910" t="s">
        <v>1723</v>
      </c>
      <c r="E148" s="917">
        <v>12500</v>
      </c>
      <c r="F148" s="908">
        <v>25755578</v>
      </c>
      <c r="G148" s="910" t="s">
        <v>1724</v>
      </c>
      <c r="H148" s="910" t="s">
        <v>1725</v>
      </c>
      <c r="I148" s="911" t="s">
        <v>1406</v>
      </c>
      <c r="J148" s="911" t="s">
        <v>1411</v>
      </c>
      <c r="K148" s="879">
        <v>1</v>
      </c>
      <c r="L148" s="878">
        <v>1</v>
      </c>
      <c r="M148" s="880">
        <v>17083.330000000002</v>
      </c>
      <c r="N148" s="879">
        <v>1</v>
      </c>
      <c r="O148" s="878">
        <v>6</v>
      </c>
      <c r="P148" s="880">
        <v>75000</v>
      </c>
    </row>
    <row r="149" spans="1:16" ht="18" customHeight="1">
      <c r="A149" s="924" t="s">
        <v>2732</v>
      </c>
      <c r="B149" s="908" t="s">
        <v>1402</v>
      </c>
      <c r="C149" s="908" t="s">
        <v>96</v>
      </c>
      <c r="D149" s="910" t="s">
        <v>1693</v>
      </c>
      <c r="E149" s="917">
        <v>15600</v>
      </c>
      <c r="F149" s="908">
        <v>8132389</v>
      </c>
      <c r="G149" s="910" t="s">
        <v>1726</v>
      </c>
      <c r="H149" s="910" t="s">
        <v>1625</v>
      </c>
      <c r="I149" s="911" t="s">
        <v>1406</v>
      </c>
      <c r="J149" s="911" t="s">
        <v>1411</v>
      </c>
      <c r="K149" s="879">
        <v>1</v>
      </c>
      <c r="L149" s="878">
        <v>2</v>
      </c>
      <c r="M149" s="880">
        <v>20900</v>
      </c>
      <c r="N149" s="879">
        <v>0</v>
      </c>
      <c r="O149" s="878" t="s">
        <v>2731</v>
      </c>
      <c r="P149" s="880">
        <v>0</v>
      </c>
    </row>
    <row r="150" spans="1:16" ht="18" customHeight="1">
      <c r="A150" s="924" t="s">
        <v>2732</v>
      </c>
      <c r="B150" s="908" t="s">
        <v>1402</v>
      </c>
      <c r="C150" s="908" t="s">
        <v>96</v>
      </c>
      <c r="D150" s="910" t="s">
        <v>1727</v>
      </c>
      <c r="E150" s="917">
        <v>3000</v>
      </c>
      <c r="F150" s="908">
        <v>40317050</v>
      </c>
      <c r="G150" s="910" t="s">
        <v>1728</v>
      </c>
      <c r="H150" s="910" t="s">
        <v>1432</v>
      </c>
      <c r="I150" s="911" t="s">
        <v>1406</v>
      </c>
      <c r="J150" s="911" t="s">
        <v>1407</v>
      </c>
      <c r="K150" s="879">
        <v>1</v>
      </c>
      <c r="L150" s="878">
        <v>12</v>
      </c>
      <c r="M150" s="880">
        <v>36300</v>
      </c>
      <c r="N150" s="879">
        <v>1</v>
      </c>
      <c r="O150" s="878">
        <v>6</v>
      </c>
      <c r="P150" s="880">
        <v>18000</v>
      </c>
    </row>
    <row r="151" spans="1:16" ht="18" customHeight="1">
      <c r="A151" s="924" t="s">
        <v>2732</v>
      </c>
      <c r="B151" s="908" t="s">
        <v>1402</v>
      </c>
      <c r="C151" s="908" t="s">
        <v>96</v>
      </c>
      <c r="D151" s="910" t="s">
        <v>1729</v>
      </c>
      <c r="E151" s="917">
        <v>8000</v>
      </c>
      <c r="F151" s="908">
        <v>8740760</v>
      </c>
      <c r="G151" s="910" t="s">
        <v>1730</v>
      </c>
      <c r="H151" s="910" t="s">
        <v>1547</v>
      </c>
      <c r="I151" s="911" t="s">
        <v>1406</v>
      </c>
      <c r="J151" s="911" t="s">
        <v>1411</v>
      </c>
      <c r="K151" s="879">
        <v>1</v>
      </c>
      <c r="L151" s="878">
        <v>12</v>
      </c>
      <c r="M151" s="880">
        <v>96300</v>
      </c>
      <c r="N151" s="879">
        <v>1</v>
      </c>
      <c r="O151" s="878">
        <v>6</v>
      </c>
      <c r="P151" s="880">
        <v>48000</v>
      </c>
    </row>
    <row r="152" spans="1:16" ht="24">
      <c r="A152" s="924" t="s">
        <v>2732</v>
      </c>
      <c r="B152" s="908" t="s">
        <v>1402</v>
      </c>
      <c r="C152" s="908" t="s">
        <v>96</v>
      </c>
      <c r="D152" s="910" t="s">
        <v>1731</v>
      </c>
      <c r="E152" s="917">
        <v>8000</v>
      </c>
      <c r="F152" s="908">
        <v>10020137</v>
      </c>
      <c r="G152" s="910" t="s">
        <v>1732</v>
      </c>
      <c r="H152" s="910" t="s">
        <v>1432</v>
      </c>
      <c r="I152" s="911" t="s">
        <v>1406</v>
      </c>
      <c r="J152" s="911" t="s">
        <v>1411</v>
      </c>
      <c r="K152" s="879">
        <v>1</v>
      </c>
      <c r="L152" s="878">
        <v>12</v>
      </c>
      <c r="M152" s="880">
        <v>96300</v>
      </c>
      <c r="N152" s="879">
        <v>1</v>
      </c>
      <c r="O152" s="878">
        <v>6</v>
      </c>
      <c r="P152" s="880">
        <v>48000</v>
      </c>
    </row>
    <row r="153" spans="1:16" ht="24">
      <c r="A153" s="924" t="s">
        <v>2732</v>
      </c>
      <c r="B153" s="908" t="s">
        <v>1402</v>
      </c>
      <c r="C153" s="908" t="s">
        <v>96</v>
      </c>
      <c r="D153" s="910" t="s">
        <v>1733</v>
      </c>
      <c r="E153" s="917">
        <v>12000</v>
      </c>
      <c r="F153" s="908">
        <v>40285214</v>
      </c>
      <c r="G153" s="910" t="s">
        <v>1734</v>
      </c>
      <c r="H153" s="910" t="s">
        <v>1423</v>
      </c>
      <c r="I153" s="911" t="s">
        <v>1406</v>
      </c>
      <c r="J153" s="911" t="s">
        <v>1411</v>
      </c>
      <c r="K153" s="879">
        <v>1</v>
      </c>
      <c r="L153" s="878">
        <v>6</v>
      </c>
      <c r="M153" s="880">
        <v>69200</v>
      </c>
      <c r="N153" s="879">
        <v>1</v>
      </c>
      <c r="O153" s="878">
        <v>1</v>
      </c>
      <c r="P153" s="880">
        <v>3600</v>
      </c>
    </row>
    <row r="154" spans="1:16" ht="18" customHeight="1">
      <c r="A154" s="924" t="s">
        <v>2732</v>
      </c>
      <c r="B154" s="908" t="s">
        <v>1402</v>
      </c>
      <c r="C154" s="908" t="s">
        <v>96</v>
      </c>
      <c r="D154" s="910" t="s">
        <v>1735</v>
      </c>
      <c r="E154" s="917">
        <v>7000</v>
      </c>
      <c r="F154" s="908">
        <v>43083187</v>
      </c>
      <c r="G154" s="910" t="s">
        <v>1736</v>
      </c>
      <c r="H154" s="910" t="s">
        <v>1442</v>
      </c>
      <c r="I154" s="911" t="s">
        <v>1406</v>
      </c>
      <c r="J154" s="911" t="s">
        <v>1411</v>
      </c>
      <c r="K154" s="879">
        <v>1</v>
      </c>
      <c r="L154" s="878">
        <v>12</v>
      </c>
      <c r="M154" s="880">
        <v>83471.19</v>
      </c>
      <c r="N154" s="879">
        <v>1</v>
      </c>
      <c r="O154" s="878">
        <v>6</v>
      </c>
      <c r="P154" s="880">
        <v>42000</v>
      </c>
    </row>
    <row r="155" spans="1:16" ht="24">
      <c r="A155" s="924" t="s">
        <v>2732</v>
      </c>
      <c r="B155" s="908" t="s">
        <v>1402</v>
      </c>
      <c r="C155" s="908" t="s">
        <v>96</v>
      </c>
      <c r="D155" s="910" t="s">
        <v>1737</v>
      </c>
      <c r="E155" s="917">
        <v>10000</v>
      </c>
      <c r="F155" s="908">
        <v>9898291</v>
      </c>
      <c r="G155" s="910" t="s">
        <v>1738</v>
      </c>
      <c r="H155" s="910" t="s">
        <v>1455</v>
      </c>
      <c r="I155" s="911" t="s">
        <v>1406</v>
      </c>
      <c r="J155" s="911" t="s">
        <v>1420</v>
      </c>
      <c r="K155" s="879">
        <v>1</v>
      </c>
      <c r="L155" s="878">
        <v>4</v>
      </c>
      <c r="M155" s="880">
        <v>38666.67</v>
      </c>
      <c r="N155" s="879">
        <v>1</v>
      </c>
      <c r="O155" s="878">
        <v>6</v>
      </c>
      <c r="P155" s="880">
        <v>60000</v>
      </c>
    </row>
    <row r="156" spans="1:16" ht="18" customHeight="1">
      <c r="A156" s="924" t="s">
        <v>2732</v>
      </c>
      <c r="B156" s="908" t="s">
        <v>1402</v>
      </c>
      <c r="C156" s="908" t="s">
        <v>96</v>
      </c>
      <c r="D156" s="910" t="s">
        <v>1520</v>
      </c>
      <c r="E156" s="917">
        <v>12500</v>
      </c>
      <c r="F156" s="908">
        <v>6017184</v>
      </c>
      <c r="G156" s="910" t="s">
        <v>1739</v>
      </c>
      <c r="H156" s="910" t="s">
        <v>1442</v>
      </c>
      <c r="I156" s="911" t="s">
        <v>1406</v>
      </c>
      <c r="J156" s="911" t="s">
        <v>1411</v>
      </c>
      <c r="K156" s="879">
        <v>1</v>
      </c>
      <c r="L156" s="878">
        <v>12</v>
      </c>
      <c r="M156" s="880">
        <v>150300</v>
      </c>
      <c r="N156" s="879">
        <v>1</v>
      </c>
      <c r="O156" s="878">
        <v>6</v>
      </c>
      <c r="P156" s="880">
        <v>74975.69</v>
      </c>
    </row>
    <row r="157" spans="1:16" ht="18" customHeight="1">
      <c r="A157" s="924" t="s">
        <v>2732</v>
      </c>
      <c r="B157" s="908" t="s">
        <v>1402</v>
      </c>
      <c r="C157" s="908" t="s">
        <v>96</v>
      </c>
      <c r="D157" s="910" t="s">
        <v>1630</v>
      </c>
      <c r="E157" s="917">
        <v>12000</v>
      </c>
      <c r="F157" s="908">
        <v>9343874</v>
      </c>
      <c r="G157" s="910" t="s">
        <v>1740</v>
      </c>
      <c r="H157" s="910" t="s">
        <v>1504</v>
      </c>
      <c r="I157" s="911" t="s">
        <v>1406</v>
      </c>
      <c r="J157" s="911" t="s">
        <v>1411</v>
      </c>
      <c r="K157" s="879">
        <v>1</v>
      </c>
      <c r="L157" s="878">
        <v>3</v>
      </c>
      <c r="M157" s="880">
        <v>35200</v>
      </c>
      <c r="N157" s="879">
        <v>0</v>
      </c>
      <c r="O157" s="878" t="s">
        <v>2731</v>
      </c>
      <c r="P157" s="880">
        <v>0</v>
      </c>
    </row>
    <row r="158" spans="1:16" ht="24">
      <c r="A158" s="924" t="s">
        <v>2732</v>
      </c>
      <c r="B158" s="908" t="s">
        <v>1402</v>
      </c>
      <c r="C158" s="908" t="s">
        <v>96</v>
      </c>
      <c r="D158" s="910" t="s">
        <v>1741</v>
      </c>
      <c r="E158" s="917">
        <v>8500</v>
      </c>
      <c r="F158" s="908">
        <v>21862201</v>
      </c>
      <c r="G158" s="910" t="s">
        <v>1742</v>
      </c>
      <c r="H158" s="910" t="s">
        <v>1519</v>
      </c>
      <c r="I158" s="911" t="s">
        <v>1420</v>
      </c>
      <c r="J158" s="911" t="s">
        <v>1411</v>
      </c>
      <c r="K158" s="879">
        <v>1</v>
      </c>
      <c r="L158" s="878">
        <v>12</v>
      </c>
      <c r="M158" s="880">
        <v>102300</v>
      </c>
      <c r="N158" s="879">
        <v>1</v>
      </c>
      <c r="O158" s="878">
        <v>6</v>
      </c>
      <c r="P158" s="880">
        <v>51000</v>
      </c>
    </row>
    <row r="159" spans="1:16" ht="18" customHeight="1">
      <c r="A159" s="924" t="s">
        <v>2732</v>
      </c>
      <c r="B159" s="908" t="s">
        <v>1402</v>
      </c>
      <c r="C159" s="908" t="s">
        <v>96</v>
      </c>
      <c r="D159" s="910" t="s">
        <v>1743</v>
      </c>
      <c r="E159" s="917">
        <v>12500</v>
      </c>
      <c r="F159" s="908">
        <v>44053458</v>
      </c>
      <c r="G159" s="910" t="s">
        <v>1744</v>
      </c>
      <c r="H159" s="910" t="s">
        <v>1417</v>
      </c>
      <c r="I159" s="911" t="s">
        <v>1406</v>
      </c>
      <c r="J159" s="911" t="s">
        <v>1411</v>
      </c>
      <c r="K159" s="879">
        <v>1</v>
      </c>
      <c r="L159" s="878">
        <v>12</v>
      </c>
      <c r="M159" s="880">
        <v>150300</v>
      </c>
      <c r="N159" s="879">
        <v>1</v>
      </c>
      <c r="O159" s="878">
        <v>6</v>
      </c>
      <c r="P159" s="880">
        <v>75000</v>
      </c>
    </row>
    <row r="160" spans="1:16" ht="18" customHeight="1">
      <c r="A160" s="924" t="s">
        <v>2732</v>
      </c>
      <c r="B160" s="908" t="s">
        <v>1402</v>
      </c>
      <c r="C160" s="908" t="s">
        <v>96</v>
      </c>
      <c r="D160" s="910" t="s">
        <v>1515</v>
      </c>
      <c r="E160" s="917">
        <v>7000</v>
      </c>
      <c r="F160" s="908">
        <v>10762808</v>
      </c>
      <c r="G160" s="910" t="s">
        <v>1745</v>
      </c>
      <c r="H160" s="910" t="s">
        <v>1491</v>
      </c>
      <c r="I160" s="911" t="s">
        <v>1406</v>
      </c>
      <c r="J160" s="911" t="s">
        <v>1420</v>
      </c>
      <c r="K160" s="879">
        <v>1</v>
      </c>
      <c r="L160" s="878">
        <v>6</v>
      </c>
      <c r="M160" s="880">
        <v>39433.33</v>
      </c>
      <c r="N160" s="879">
        <v>1</v>
      </c>
      <c r="O160" s="878">
        <v>3</v>
      </c>
      <c r="P160" s="880">
        <v>21000</v>
      </c>
    </row>
    <row r="161" spans="1:16" ht="24">
      <c r="A161" s="924" t="s">
        <v>2732</v>
      </c>
      <c r="B161" s="908" t="s">
        <v>1402</v>
      </c>
      <c r="C161" s="908" t="s">
        <v>96</v>
      </c>
      <c r="D161" s="910" t="s">
        <v>1746</v>
      </c>
      <c r="E161" s="917">
        <v>3500</v>
      </c>
      <c r="F161" s="908">
        <v>41579885</v>
      </c>
      <c r="G161" s="910" t="s">
        <v>1747</v>
      </c>
      <c r="H161" s="910" t="s">
        <v>1748</v>
      </c>
      <c r="I161" s="911" t="s">
        <v>1424</v>
      </c>
      <c r="J161" s="911" t="s">
        <v>1411</v>
      </c>
      <c r="K161" s="879">
        <v>1</v>
      </c>
      <c r="L161" s="878">
        <v>12</v>
      </c>
      <c r="M161" s="880">
        <v>42300</v>
      </c>
      <c r="N161" s="879">
        <v>1</v>
      </c>
      <c r="O161" s="878">
        <v>6</v>
      </c>
      <c r="P161" s="880">
        <v>20935.59</v>
      </c>
    </row>
    <row r="162" spans="1:16" ht="18" customHeight="1">
      <c r="A162" s="924" t="s">
        <v>2732</v>
      </c>
      <c r="B162" s="908" t="s">
        <v>1402</v>
      </c>
      <c r="C162" s="908" t="s">
        <v>96</v>
      </c>
      <c r="D162" s="910" t="s">
        <v>1749</v>
      </c>
      <c r="E162" s="917">
        <v>8000</v>
      </c>
      <c r="F162" s="908">
        <v>6654591</v>
      </c>
      <c r="G162" s="910" t="s">
        <v>1750</v>
      </c>
      <c r="H162" s="910" t="s">
        <v>1414</v>
      </c>
      <c r="I162" s="911" t="s">
        <v>1406</v>
      </c>
      <c r="J162" s="911" t="s">
        <v>1411</v>
      </c>
      <c r="K162" s="879">
        <v>1</v>
      </c>
      <c r="L162" s="878">
        <v>12</v>
      </c>
      <c r="M162" s="880">
        <v>95924.06</v>
      </c>
      <c r="N162" s="879">
        <v>1</v>
      </c>
      <c r="O162" s="878">
        <v>6</v>
      </c>
      <c r="P162" s="880">
        <v>47671.11</v>
      </c>
    </row>
    <row r="163" spans="1:16" ht="18" customHeight="1">
      <c r="A163" s="924" t="s">
        <v>2732</v>
      </c>
      <c r="B163" s="908" t="s">
        <v>1402</v>
      </c>
      <c r="C163" s="908" t="s">
        <v>96</v>
      </c>
      <c r="D163" s="910" t="s">
        <v>1751</v>
      </c>
      <c r="E163" s="917">
        <v>15600</v>
      </c>
      <c r="F163" s="908">
        <v>16683265</v>
      </c>
      <c r="G163" s="910" t="s">
        <v>1752</v>
      </c>
      <c r="H163" s="910" t="s">
        <v>1753</v>
      </c>
      <c r="I163" s="911" t="s">
        <v>1406</v>
      </c>
      <c r="J163" s="911" t="s">
        <v>1411</v>
      </c>
      <c r="K163" s="879">
        <v>1</v>
      </c>
      <c r="L163" s="878">
        <v>12</v>
      </c>
      <c r="M163" s="880">
        <v>187500</v>
      </c>
      <c r="N163" s="879">
        <v>1</v>
      </c>
      <c r="O163" s="878">
        <v>6</v>
      </c>
      <c r="P163" s="880">
        <v>92040</v>
      </c>
    </row>
    <row r="164" spans="1:16" ht="18" customHeight="1">
      <c r="A164" s="924" t="s">
        <v>2732</v>
      </c>
      <c r="B164" s="908" t="s">
        <v>1402</v>
      </c>
      <c r="C164" s="908" t="s">
        <v>96</v>
      </c>
      <c r="D164" s="910" t="s">
        <v>1754</v>
      </c>
      <c r="E164" s="917">
        <v>15500</v>
      </c>
      <c r="F164" s="908">
        <v>7488780</v>
      </c>
      <c r="G164" s="910" t="s">
        <v>1755</v>
      </c>
      <c r="H164" s="910" t="s">
        <v>1410</v>
      </c>
      <c r="I164" s="911" t="s">
        <v>1406</v>
      </c>
      <c r="J164" s="911" t="s">
        <v>1411</v>
      </c>
      <c r="K164" s="879">
        <v>1</v>
      </c>
      <c r="L164" s="878">
        <v>12</v>
      </c>
      <c r="M164" s="880">
        <v>159716.66999999998</v>
      </c>
      <c r="N164" s="879">
        <v>1</v>
      </c>
      <c r="O164" s="878">
        <v>6</v>
      </c>
      <c r="P164" s="880">
        <v>91450</v>
      </c>
    </row>
    <row r="165" spans="1:16" ht="24">
      <c r="A165" s="924" t="s">
        <v>2732</v>
      </c>
      <c r="B165" s="908" t="s">
        <v>1402</v>
      </c>
      <c r="C165" s="908" t="s">
        <v>96</v>
      </c>
      <c r="D165" s="910" t="s">
        <v>1756</v>
      </c>
      <c r="E165" s="917">
        <v>7500</v>
      </c>
      <c r="F165" s="908">
        <v>1492536</v>
      </c>
      <c r="G165" s="910" t="s">
        <v>1757</v>
      </c>
      <c r="H165" s="910" t="s">
        <v>1468</v>
      </c>
      <c r="I165" s="911" t="s">
        <v>1406</v>
      </c>
      <c r="J165" s="911" t="s">
        <v>1411</v>
      </c>
      <c r="K165" s="879">
        <v>1</v>
      </c>
      <c r="L165" s="878">
        <v>12</v>
      </c>
      <c r="M165" s="880">
        <v>90300</v>
      </c>
      <c r="N165" s="879">
        <v>1</v>
      </c>
      <c r="O165" s="878">
        <v>6</v>
      </c>
      <c r="P165" s="880">
        <v>45000</v>
      </c>
    </row>
    <row r="166" spans="1:16" ht="18" customHeight="1">
      <c r="A166" s="924" t="s">
        <v>2732</v>
      </c>
      <c r="B166" s="908" t="s">
        <v>1402</v>
      </c>
      <c r="C166" s="908" t="s">
        <v>96</v>
      </c>
      <c r="D166" s="910" t="s">
        <v>1758</v>
      </c>
      <c r="E166" s="917">
        <v>9000</v>
      </c>
      <c r="F166" s="908">
        <v>40888595</v>
      </c>
      <c r="G166" s="910" t="s">
        <v>1759</v>
      </c>
      <c r="H166" s="910" t="s">
        <v>1458</v>
      </c>
      <c r="I166" s="911" t="s">
        <v>1406</v>
      </c>
      <c r="J166" s="911" t="s">
        <v>1411</v>
      </c>
      <c r="K166" s="879">
        <v>1</v>
      </c>
      <c r="L166" s="878">
        <v>12</v>
      </c>
      <c r="M166" s="880">
        <v>84643.33</v>
      </c>
      <c r="N166" s="879">
        <v>1</v>
      </c>
      <c r="O166" s="878">
        <v>6</v>
      </c>
      <c r="P166" s="880">
        <v>54000</v>
      </c>
    </row>
    <row r="167" spans="1:16" ht="18" customHeight="1">
      <c r="A167" s="924" t="s">
        <v>2732</v>
      </c>
      <c r="B167" s="908" t="s">
        <v>1402</v>
      </c>
      <c r="C167" s="908" t="s">
        <v>96</v>
      </c>
      <c r="D167" s="910" t="s">
        <v>1760</v>
      </c>
      <c r="E167" s="917">
        <v>11000</v>
      </c>
      <c r="F167" s="908">
        <v>40735989</v>
      </c>
      <c r="G167" s="910" t="s">
        <v>1761</v>
      </c>
      <c r="H167" s="910" t="s">
        <v>1410</v>
      </c>
      <c r="I167" s="911" t="s">
        <v>1406</v>
      </c>
      <c r="J167" s="911" t="s">
        <v>1411</v>
      </c>
      <c r="K167" s="879">
        <v>1</v>
      </c>
      <c r="L167" s="878">
        <v>12</v>
      </c>
      <c r="M167" s="880">
        <v>115692.66</v>
      </c>
      <c r="N167" s="879">
        <v>1</v>
      </c>
      <c r="O167" s="878">
        <v>6</v>
      </c>
      <c r="P167" s="880">
        <v>66000</v>
      </c>
    </row>
    <row r="168" spans="1:16" ht="24">
      <c r="A168" s="924" t="s">
        <v>2732</v>
      </c>
      <c r="B168" s="908" t="s">
        <v>1402</v>
      </c>
      <c r="C168" s="908" t="s">
        <v>96</v>
      </c>
      <c r="D168" s="910" t="s">
        <v>1762</v>
      </c>
      <c r="E168" s="917">
        <v>4500</v>
      </c>
      <c r="F168" s="908">
        <v>42566155</v>
      </c>
      <c r="G168" s="910" t="s">
        <v>1763</v>
      </c>
      <c r="H168" s="910" t="s">
        <v>1519</v>
      </c>
      <c r="I168" s="911" t="s">
        <v>1406</v>
      </c>
      <c r="J168" s="911" t="s">
        <v>1411</v>
      </c>
      <c r="K168" s="879">
        <v>1</v>
      </c>
      <c r="L168" s="878">
        <v>12</v>
      </c>
      <c r="M168" s="880">
        <v>54281.3</v>
      </c>
      <c r="N168" s="879">
        <v>1</v>
      </c>
      <c r="O168" s="878">
        <v>6</v>
      </c>
      <c r="P168" s="880">
        <v>27000</v>
      </c>
    </row>
    <row r="169" spans="1:16">
      <c r="A169" s="924" t="s">
        <v>2732</v>
      </c>
      <c r="B169" s="908" t="s">
        <v>1402</v>
      </c>
      <c r="C169" s="908" t="s">
        <v>96</v>
      </c>
      <c r="D169" s="910" t="s">
        <v>1764</v>
      </c>
      <c r="E169" s="917">
        <v>8000</v>
      </c>
      <c r="F169" s="908">
        <v>42414440</v>
      </c>
      <c r="G169" s="910" t="s">
        <v>1765</v>
      </c>
      <c r="H169" s="910" t="s">
        <v>1570</v>
      </c>
      <c r="I169" s="911" t="s">
        <v>1420</v>
      </c>
      <c r="J169" s="911" t="s">
        <v>1420</v>
      </c>
      <c r="K169" s="879">
        <v>1</v>
      </c>
      <c r="L169" s="878">
        <v>2</v>
      </c>
      <c r="M169" s="880">
        <v>18666.669999999998</v>
      </c>
      <c r="N169" s="879">
        <v>1</v>
      </c>
      <c r="O169" s="878">
        <v>6</v>
      </c>
      <c r="P169" s="880">
        <v>48000</v>
      </c>
    </row>
    <row r="170" spans="1:16">
      <c r="A170" s="924" t="s">
        <v>2732</v>
      </c>
      <c r="B170" s="908" t="s">
        <v>1402</v>
      </c>
      <c r="C170" s="908" t="s">
        <v>96</v>
      </c>
      <c r="D170" s="910" t="s">
        <v>1408</v>
      </c>
      <c r="E170" s="917">
        <v>8500</v>
      </c>
      <c r="F170" s="908">
        <v>42166246</v>
      </c>
      <c r="G170" s="910" t="s">
        <v>1766</v>
      </c>
      <c r="H170" s="910" t="s">
        <v>1410</v>
      </c>
      <c r="I170" s="911" t="s">
        <v>1406</v>
      </c>
      <c r="J170" s="911" t="s">
        <v>1411</v>
      </c>
      <c r="K170" s="879">
        <v>1</v>
      </c>
      <c r="L170" s="878">
        <v>9</v>
      </c>
      <c r="M170" s="880">
        <v>76133.239999999991</v>
      </c>
      <c r="N170" s="879">
        <v>1</v>
      </c>
      <c r="O170" s="878">
        <v>6</v>
      </c>
      <c r="P170" s="880">
        <v>51000</v>
      </c>
    </row>
    <row r="171" spans="1:16" ht="24">
      <c r="A171" s="924" t="s">
        <v>2732</v>
      </c>
      <c r="B171" s="908" t="s">
        <v>1402</v>
      </c>
      <c r="C171" s="908" t="s">
        <v>96</v>
      </c>
      <c r="D171" s="910" t="s">
        <v>1767</v>
      </c>
      <c r="E171" s="917">
        <v>6500</v>
      </c>
      <c r="F171" s="908">
        <v>42392672</v>
      </c>
      <c r="G171" s="910" t="s">
        <v>1768</v>
      </c>
      <c r="H171" s="910" t="s">
        <v>1455</v>
      </c>
      <c r="I171" s="911" t="s">
        <v>1420</v>
      </c>
      <c r="J171" s="911" t="s">
        <v>1420</v>
      </c>
      <c r="K171" s="879">
        <v>1</v>
      </c>
      <c r="L171" s="878">
        <v>4</v>
      </c>
      <c r="M171" s="880">
        <v>25133.33</v>
      </c>
      <c r="N171" s="879">
        <v>1</v>
      </c>
      <c r="O171" s="878">
        <v>6</v>
      </c>
      <c r="P171" s="880">
        <v>39000</v>
      </c>
    </row>
    <row r="172" spans="1:16" ht="36">
      <c r="A172" s="924" t="s">
        <v>2732</v>
      </c>
      <c r="B172" s="908" t="s">
        <v>1402</v>
      </c>
      <c r="C172" s="908" t="s">
        <v>96</v>
      </c>
      <c r="D172" s="910" t="s">
        <v>1769</v>
      </c>
      <c r="E172" s="917">
        <v>11000</v>
      </c>
      <c r="F172" s="908">
        <v>25787420</v>
      </c>
      <c r="G172" s="910" t="s">
        <v>1770</v>
      </c>
      <c r="H172" s="910" t="s">
        <v>1512</v>
      </c>
      <c r="I172" s="911" t="s">
        <v>1406</v>
      </c>
      <c r="J172" s="911" t="s">
        <v>1411</v>
      </c>
      <c r="K172" s="879">
        <v>1</v>
      </c>
      <c r="L172" s="878">
        <v>6</v>
      </c>
      <c r="M172" s="880">
        <v>63433.33</v>
      </c>
      <c r="N172" s="879">
        <v>1</v>
      </c>
      <c r="O172" s="878">
        <v>6</v>
      </c>
      <c r="P172" s="880">
        <v>66000</v>
      </c>
    </row>
    <row r="173" spans="1:16" ht="24">
      <c r="A173" s="924" t="s">
        <v>2732</v>
      </c>
      <c r="B173" s="908" t="s">
        <v>1402</v>
      </c>
      <c r="C173" s="908" t="s">
        <v>96</v>
      </c>
      <c r="D173" s="910" t="s">
        <v>1771</v>
      </c>
      <c r="E173" s="917">
        <v>8000</v>
      </c>
      <c r="F173" s="908">
        <v>46585993</v>
      </c>
      <c r="G173" s="910" t="s">
        <v>1772</v>
      </c>
      <c r="H173" s="910" t="s">
        <v>1773</v>
      </c>
      <c r="I173" s="911" t="s">
        <v>1406</v>
      </c>
      <c r="J173" s="911" t="s">
        <v>1411</v>
      </c>
      <c r="K173" s="879">
        <v>1</v>
      </c>
      <c r="L173" s="878">
        <v>8</v>
      </c>
      <c r="M173" s="880">
        <v>61700</v>
      </c>
      <c r="N173" s="879">
        <v>1</v>
      </c>
      <c r="O173" s="878">
        <v>6</v>
      </c>
      <c r="P173" s="880">
        <v>48000</v>
      </c>
    </row>
    <row r="174" spans="1:16" ht="24">
      <c r="A174" s="924" t="s">
        <v>2732</v>
      </c>
      <c r="B174" s="908" t="s">
        <v>1402</v>
      </c>
      <c r="C174" s="908" t="s">
        <v>96</v>
      </c>
      <c r="D174" s="910" t="s">
        <v>1774</v>
      </c>
      <c r="E174" s="917">
        <v>6000</v>
      </c>
      <c r="F174" s="908">
        <v>7234315</v>
      </c>
      <c r="G174" s="910" t="s">
        <v>1775</v>
      </c>
      <c r="H174" s="910" t="s">
        <v>1776</v>
      </c>
      <c r="I174" s="911" t="s">
        <v>1406</v>
      </c>
      <c r="J174" s="911" t="s">
        <v>1411</v>
      </c>
      <c r="K174" s="879">
        <v>1</v>
      </c>
      <c r="L174" s="878">
        <v>12</v>
      </c>
      <c r="M174" s="880">
        <v>72300</v>
      </c>
      <c r="N174" s="879">
        <v>1</v>
      </c>
      <c r="O174" s="878">
        <v>6</v>
      </c>
      <c r="P174" s="880">
        <v>35856.25</v>
      </c>
    </row>
    <row r="175" spans="1:16" ht="24">
      <c r="A175" s="924" t="s">
        <v>2732</v>
      </c>
      <c r="B175" s="908" t="s">
        <v>1402</v>
      </c>
      <c r="C175" s="908" t="s">
        <v>96</v>
      </c>
      <c r="D175" s="910" t="s">
        <v>1777</v>
      </c>
      <c r="E175" s="917">
        <v>10000</v>
      </c>
      <c r="F175" s="908">
        <v>7758167</v>
      </c>
      <c r="G175" s="910" t="s">
        <v>1778</v>
      </c>
      <c r="H175" s="910" t="s">
        <v>1442</v>
      </c>
      <c r="I175" s="911" t="s">
        <v>1406</v>
      </c>
      <c r="J175" s="911" t="s">
        <v>1411</v>
      </c>
      <c r="K175" s="879">
        <v>1</v>
      </c>
      <c r="L175" s="878">
        <v>12</v>
      </c>
      <c r="M175" s="880">
        <v>120300</v>
      </c>
      <c r="N175" s="879">
        <v>1</v>
      </c>
      <c r="O175" s="878">
        <v>6</v>
      </c>
      <c r="P175" s="880">
        <v>60000</v>
      </c>
    </row>
    <row r="176" spans="1:16" ht="24">
      <c r="A176" s="924" t="s">
        <v>2732</v>
      </c>
      <c r="B176" s="908" t="s">
        <v>1402</v>
      </c>
      <c r="C176" s="908" t="s">
        <v>96</v>
      </c>
      <c r="D176" s="910" t="s">
        <v>1505</v>
      </c>
      <c r="E176" s="917">
        <v>3500</v>
      </c>
      <c r="F176" s="908">
        <v>46618619</v>
      </c>
      <c r="G176" s="910" t="s">
        <v>1779</v>
      </c>
      <c r="H176" s="910" t="s">
        <v>1491</v>
      </c>
      <c r="I176" s="911" t="s">
        <v>1406</v>
      </c>
      <c r="J176" s="911" t="s">
        <v>1420</v>
      </c>
      <c r="K176" s="879">
        <v>1</v>
      </c>
      <c r="L176" s="878">
        <v>2</v>
      </c>
      <c r="M176" s="880">
        <v>5716.67</v>
      </c>
      <c r="N176" s="879">
        <v>1</v>
      </c>
      <c r="O176" s="878">
        <v>6</v>
      </c>
      <c r="P176" s="880">
        <v>21000</v>
      </c>
    </row>
    <row r="177" spans="1:16" ht="24">
      <c r="A177" s="924" t="s">
        <v>2732</v>
      </c>
      <c r="B177" s="908" t="s">
        <v>1402</v>
      </c>
      <c r="C177" s="908" t="s">
        <v>96</v>
      </c>
      <c r="D177" s="910" t="s">
        <v>1780</v>
      </c>
      <c r="E177" s="917">
        <v>8000</v>
      </c>
      <c r="F177" s="908">
        <v>6914894</v>
      </c>
      <c r="G177" s="910" t="s">
        <v>1781</v>
      </c>
      <c r="H177" s="910" t="s">
        <v>1471</v>
      </c>
      <c r="I177" s="911" t="s">
        <v>1406</v>
      </c>
      <c r="J177" s="911" t="s">
        <v>1411</v>
      </c>
      <c r="K177" s="879">
        <v>1</v>
      </c>
      <c r="L177" s="878">
        <v>12</v>
      </c>
      <c r="M177" s="880">
        <v>96300</v>
      </c>
      <c r="N177" s="879">
        <v>1</v>
      </c>
      <c r="O177" s="878">
        <v>6</v>
      </c>
      <c r="P177" s="880">
        <v>47873.33</v>
      </c>
    </row>
    <row r="178" spans="1:16" ht="18" customHeight="1">
      <c r="A178" s="924" t="s">
        <v>2732</v>
      </c>
      <c r="B178" s="908" t="s">
        <v>1402</v>
      </c>
      <c r="C178" s="908" t="s">
        <v>96</v>
      </c>
      <c r="D178" s="910" t="s">
        <v>1696</v>
      </c>
      <c r="E178" s="917">
        <v>15600</v>
      </c>
      <c r="F178" s="908">
        <v>28206460</v>
      </c>
      <c r="G178" s="910" t="s">
        <v>1782</v>
      </c>
      <c r="H178" s="910" t="s">
        <v>1427</v>
      </c>
      <c r="I178" s="911" t="s">
        <v>1420</v>
      </c>
      <c r="J178" s="911" t="s">
        <v>1411</v>
      </c>
      <c r="K178" s="879">
        <v>1</v>
      </c>
      <c r="L178" s="878">
        <v>1</v>
      </c>
      <c r="M178" s="880">
        <v>15600</v>
      </c>
      <c r="N178" s="879">
        <v>0</v>
      </c>
      <c r="O178" s="878" t="s">
        <v>2731</v>
      </c>
      <c r="P178" s="880">
        <v>0</v>
      </c>
    </row>
    <row r="179" spans="1:16" ht="18" customHeight="1">
      <c r="A179" s="924" t="s">
        <v>2732</v>
      </c>
      <c r="B179" s="908" t="s">
        <v>1402</v>
      </c>
      <c r="C179" s="908" t="s">
        <v>96</v>
      </c>
      <c r="D179" s="910" t="s">
        <v>1783</v>
      </c>
      <c r="E179" s="917">
        <v>6500</v>
      </c>
      <c r="F179" s="908">
        <v>40210910</v>
      </c>
      <c r="G179" s="910" t="s">
        <v>1784</v>
      </c>
      <c r="H179" s="910" t="s">
        <v>1519</v>
      </c>
      <c r="I179" s="911" t="s">
        <v>1406</v>
      </c>
      <c r="J179" s="911" t="s">
        <v>1411</v>
      </c>
      <c r="K179" s="879">
        <v>1</v>
      </c>
      <c r="L179" s="878">
        <v>10</v>
      </c>
      <c r="M179" s="880">
        <v>68116.58</v>
      </c>
      <c r="N179" s="879">
        <v>1</v>
      </c>
      <c r="O179" s="878">
        <v>6</v>
      </c>
      <c r="P179" s="880">
        <v>39000</v>
      </c>
    </row>
    <row r="180" spans="1:16" ht="24">
      <c r="A180" s="924" t="s">
        <v>2732</v>
      </c>
      <c r="B180" s="908" t="s">
        <v>1402</v>
      </c>
      <c r="C180" s="908" t="s">
        <v>96</v>
      </c>
      <c r="D180" s="910" t="s">
        <v>1785</v>
      </c>
      <c r="E180" s="917">
        <v>10500</v>
      </c>
      <c r="F180" s="908">
        <v>43753029</v>
      </c>
      <c r="G180" s="910" t="s">
        <v>1786</v>
      </c>
      <c r="H180" s="910" t="s">
        <v>1787</v>
      </c>
      <c r="I180" s="911" t="s">
        <v>1420</v>
      </c>
      <c r="J180" s="911" t="s">
        <v>1420</v>
      </c>
      <c r="K180" s="879">
        <v>1</v>
      </c>
      <c r="L180" s="878">
        <v>4</v>
      </c>
      <c r="M180" s="880">
        <v>40600</v>
      </c>
      <c r="N180" s="879">
        <v>1</v>
      </c>
      <c r="O180" s="878">
        <v>6</v>
      </c>
      <c r="P180" s="880">
        <v>62650</v>
      </c>
    </row>
    <row r="181" spans="1:16" ht="24">
      <c r="A181" s="924" t="s">
        <v>2732</v>
      </c>
      <c r="B181" s="908" t="s">
        <v>1402</v>
      </c>
      <c r="C181" s="908" t="s">
        <v>96</v>
      </c>
      <c r="D181" s="910" t="s">
        <v>1788</v>
      </c>
      <c r="E181" s="917">
        <v>6500</v>
      </c>
      <c r="F181" s="908">
        <v>7496914</v>
      </c>
      <c r="G181" s="910" t="s">
        <v>1789</v>
      </c>
      <c r="H181" s="910" t="s">
        <v>1512</v>
      </c>
      <c r="I181" s="911" t="s">
        <v>1406</v>
      </c>
      <c r="J181" s="911" t="s">
        <v>1411</v>
      </c>
      <c r="K181" s="879">
        <v>1</v>
      </c>
      <c r="L181" s="878">
        <v>4</v>
      </c>
      <c r="M181" s="880">
        <v>28266.6</v>
      </c>
      <c r="N181" s="879">
        <v>0</v>
      </c>
      <c r="O181" s="878" t="s">
        <v>2731</v>
      </c>
      <c r="P181" s="880">
        <v>0</v>
      </c>
    </row>
    <row r="182" spans="1:16" ht="24">
      <c r="A182" s="924" t="s">
        <v>2732</v>
      </c>
      <c r="B182" s="908" t="s">
        <v>1402</v>
      </c>
      <c r="C182" s="908" t="s">
        <v>96</v>
      </c>
      <c r="D182" s="910" t="s">
        <v>1636</v>
      </c>
      <c r="E182" s="917">
        <v>6000</v>
      </c>
      <c r="F182" s="908">
        <v>70437670</v>
      </c>
      <c r="G182" s="910" t="s">
        <v>1790</v>
      </c>
      <c r="H182" s="910" t="s">
        <v>1461</v>
      </c>
      <c r="I182" s="911" t="s">
        <v>1406</v>
      </c>
      <c r="J182" s="911" t="s">
        <v>1411</v>
      </c>
      <c r="K182" s="879">
        <v>1</v>
      </c>
      <c r="L182" s="878">
        <v>12</v>
      </c>
      <c r="M182" s="880">
        <v>68012.33</v>
      </c>
      <c r="N182" s="879">
        <v>1</v>
      </c>
      <c r="O182" s="878">
        <v>6</v>
      </c>
      <c r="P182" s="880">
        <v>36000</v>
      </c>
    </row>
    <row r="183" spans="1:16" ht="18" customHeight="1">
      <c r="A183" s="924" t="s">
        <v>2732</v>
      </c>
      <c r="B183" s="908" t="s">
        <v>1402</v>
      </c>
      <c r="C183" s="908" t="s">
        <v>96</v>
      </c>
      <c r="D183" s="910" t="s">
        <v>1791</v>
      </c>
      <c r="E183" s="917">
        <v>5500</v>
      </c>
      <c r="F183" s="908">
        <v>42690660</v>
      </c>
      <c r="G183" s="910" t="s">
        <v>1792</v>
      </c>
      <c r="H183" s="910" t="s">
        <v>1787</v>
      </c>
      <c r="I183" s="911" t="s">
        <v>1420</v>
      </c>
      <c r="J183" s="911" t="s">
        <v>1420</v>
      </c>
      <c r="K183" s="879">
        <v>1</v>
      </c>
      <c r="L183" s="878">
        <v>2</v>
      </c>
      <c r="M183" s="880">
        <v>21266.67</v>
      </c>
      <c r="N183" s="879">
        <v>1</v>
      </c>
      <c r="O183" s="878">
        <v>6</v>
      </c>
      <c r="P183" s="880">
        <v>33000</v>
      </c>
    </row>
    <row r="184" spans="1:16" ht="24">
      <c r="A184" s="924" t="s">
        <v>2732</v>
      </c>
      <c r="B184" s="908" t="s">
        <v>1402</v>
      </c>
      <c r="C184" s="908" t="s">
        <v>96</v>
      </c>
      <c r="D184" s="910" t="s">
        <v>1793</v>
      </c>
      <c r="E184" s="917">
        <v>6000</v>
      </c>
      <c r="F184" s="908">
        <v>46009403</v>
      </c>
      <c r="G184" s="910" t="s">
        <v>1794</v>
      </c>
      <c r="H184" s="910" t="s">
        <v>1795</v>
      </c>
      <c r="I184" s="911" t="s">
        <v>1420</v>
      </c>
      <c r="J184" s="911" t="s">
        <v>1420</v>
      </c>
      <c r="K184" s="879">
        <v>1</v>
      </c>
      <c r="L184" s="878">
        <v>6</v>
      </c>
      <c r="M184" s="880">
        <v>34600</v>
      </c>
      <c r="N184" s="879">
        <v>1</v>
      </c>
      <c r="O184" s="878">
        <v>6</v>
      </c>
      <c r="P184" s="880">
        <v>36000</v>
      </c>
    </row>
    <row r="185" spans="1:16" ht="24">
      <c r="A185" s="924" t="s">
        <v>2732</v>
      </c>
      <c r="B185" s="908" t="s">
        <v>1402</v>
      </c>
      <c r="C185" s="908" t="s">
        <v>96</v>
      </c>
      <c r="D185" s="910" t="s">
        <v>1796</v>
      </c>
      <c r="E185" s="917">
        <v>9500</v>
      </c>
      <c r="F185" s="908">
        <v>40572939</v>
      </c>
      <c r="G185" s="910" t="s">
        <v>1797</v>
      </c>
      <c r="H185" s="910" t="s">
        <v>1448</v>
      </c>
      <c r="I185" s="911" t="s">
        <v>1406</v>
      </c>
      <c r="J185" s="911" t="s">
        <v>1411</v>
      </c>
      <c r="K185" s="879">
        <v>1</v>
      </c>
      <c r="L185" s="878">
        <v>12</v>
      </c>
      <c r="M185" s="880">
        <v>114300</v>
      </c>
      <c r="N185" s="879">
        <v>1</v>
      </c>
      <c r="O185" s="878">
        <v>6</v>
      </c>
      <c r="P185" s="880">
        <v>57000</v>
      </c>
    </row>
    <row r="186" spans="1:16" ht="24">
      <c r="A186" s="924" t="s">
        <v>2732</v>
      </c>
      <c r="B186" s="908" t="s">
        <v>1402</v>
      </c>
      <c r="C186" s="908" t="s">
        <v>96</v>
      </c>
      <c r="D186" s="910" t="s">
        <v>1798</v>
      </c>
      <c r="E186" s="917">
        <v>5000</v>
      </c>
      <c r="F186" s="908">
        <v>44905917</v>
      </c>
      <c r="G186" s="910" t="s">
        <v>1799</v>
      </c>
      <c r="H186" s="910" t="s">
        <v>1565</v>
      </c>
      <c r="I186" s="911" t="s">
        <v>1406</v>
      </c>
      <c r="J186" s="911" t="s">
        <v>1420</v>
      </c>
      <c r="K186" s="879">
        <v>1</v>
      </c>
      <c r="L186" s="878">
        <v>6</v>
      </c>
      <c r="M186" s="880">
        <v>28578.120000000003</v>
      </c>
      <c r="N186" s="879">
        <v>1</v>
      </c>
      <c r="O186" s="878">
        <v>6</v>
      </c>
      <c r="P186" s="880">
        <v>30000</v>
      </c>
    </row>
    <row r="187" spans="1:16" ht="18" customHeight="1">
      <c r="A187" s="924" t="s">
        <v>2732</v>
      </c>
      <c r="B187" s="908" t="s">
        <v>1402</v>
      </c>
      <c r="C187" s="908" t="s">
        <v>96</v>
      </c>
      <c r="D187" s="910" t="s">
        <v>1464</v>
      </c>
      <c r="E187" s="917">
        <v>6000</v>
      </c>
      <c r="F187" s="908">
        <v>33567979</v>
      </c>
      <c r="G187" s="910" t="s">
        <v>1800</v>
      </c>
      <c r="H187" s="910" t="s">
        <v>1776</v>
      </c>
      <c r="I187" s="911" t="s">
        <v>1406</v>
      </c>
      <c r="J187" s="911" t="s">
        <v>1411</v>
      </c>
      <c r="K187" s="879">
        <v>1</v>
      </c>
      <c r="L187" s="878">
        <v>12</v>
      </c>
      <c r="M187" s="880">
        <v>72300</v>
      </c>
      <c r="N187" s="879">
        <v>1</v>
      </c>
      <c r="O187" s="878">
        <v>6</v>
      </c>
      <c r="P187" s="880">
        <v>36000</v>
      </c>
    </row>
    <row r="188" spans="1:16" ht="18" customHeight="1">
      <c r="A188" s="924" t="s">
        <v>2732</v>
      </c>
      <c r="B188" s="908" t="s">
        <v>1402</v>
      </c>
      <c r="C188" s="908" t="s">
        <v>96</v>
      </c>
      <c r="D188" s="910" t="s">
        <v>1533</v>
      </c>
      <c r="E188" s="917">
        <v>7900</v>
      </c>
      <c r="F188" s="908">
        <v>19248787</v>
      </c>
      <c r="G188" s="910" t="s">
        <v>1801</v>
      </c>
      <c r="H188" s="910" t="s">
        <v>1410</v>
      </c>
      <c r="I188" s="911" t="s">
        <v>1406</v>
      </c>
      <c r="J188" s="911" t="s">
        <v>1411</v>
      </c>
      <c r="K188" s="879">
        <v>1</v>
      </c>
      <c r="L188" s="878">
        <v>12</v>
      </c>
      <c r="M188" s="880">
        <v>95100</v>
      </c>
      <c r="N188" s="879">
        <v>1</v>
      </c>
      <c r="O188" s="878">
        <v>6</v>
      </c>
      <c r="P188" s="880">
        <v>47400</v>
      </c>
    </row>
    <row r="189" spans="1:16" ht="18" customHeight="1">
      <c r="A189" s="924" t="s">
        <v>2732</v>
      </c>
      <c r="B189" s="908" t="s">
        <v>1402</v>
      </c>
      <c r="C189" s="908" t="s">
        <v>96</v>
      </c>
      <c r="D189" s="910" t="s">
        <v>1802</v>
      </c>
      <c r="E189" s="917">
        <v>10000</v>
      </c>
      <c r="F189" s="908">
        <v>15844960</v>
      </c>
      <c r="G189" s="910" t="s">
        <v>1803</v>
      </c>
      <c r="H189" s="910" t="s">
        <v>1804</v>
      </c>
      <c r="I189" s="911" t="s">
        <v>1406</v>
      </c>
      <c r="J189" s="911" t="s">
        <v>1420</v>
      </c>
      <c r="K189" s="879">
        <v>0</v>
      </c>
      <c r="L189" s="878" t="s">
        <v>2731</v>
      </c>
      <c r="M189" s="880">
        <v>0</v>
      </c>
      <c r="N189" s="879">
        <v>1</v>
      </c>
      <c r="O189" s="878">
        <v>5</v>
      </c>
      <c r="P189" s="880">
        <v>50000</v>
      </c>
    </row>
    <row r="190" spans="1:16" ht="18" customHeight="1">
      <c r="A190" s="924" t="s">
        <v>2732</v>
      </c>
      <c r="B190" s="908" t="s">
        <v>1402</v>
      </c>
      <c r="C190" s="908" t="s">
        <v>96</v>
      </c>
      <c r="D190" s="910" t="s">
        <v>1675</v>
      </c>
      <c r="E190" s="917">
        <v>15600</v>
      </c>
      <c r="F190" s="908">
        <v>15852761</v>
      </c>
      <c r="G190" s="910" t="s">
        <v>1805</v>
      </c>
      <c r="H190" s="910" t="s">
        <v>1442</v>
      </c>
      <c r="I190" s="911" t="s">
        <v>1406</v>
      </c>
      <c r="J190" s="911" t="s">
        <v>1411</v>
      </c>
      <c r="K190" s="879">
        <v>1</v>
      </c>
      <c r="L190" s="878">
        <v>1</v>
      </c>
      <c r="M190" s="880">
        <v>15600</v>
      </c>
      <c r="N190" s="879">
        <v>0</v>
      </c>
      <c r="O190" s="878" t="s">
        <v>2731</v>
      </c>
      <c r="P190" s="880">
        <v>0</v>
      </c>
    </row>
    <row r="191" spans="1:16" ht="18" customHeight="1">
      <c r="A191" s="924" t="s">
        <v>2732</v>
      </c>
      <c r="B191" s="908" t="s">
        <v>1402</v>
      </c>
      <c r="C191" s="908" t="s">
        <v>96</v>
      </c>
      <c r="D191" s="910" t="s">
        <v>1472</v>
      </c>
      <c r="E191" s="917">
        <v>4000</v>
      </c>
      <c r="F191" s="908">
        <v>46712508</v>
      </c>
      <c r="G191" s="910" t="s">
        <v>1806</v>
      </c>
      <c r="H191" s="910" t="s">
        <v>1474</v>
      </c>
      <c r="I191" s="911" t="s">
        <v>1406</v>
      </c>
      <c r="J191" s="911" t="s">
        <v>1420</v>
      </c>
      <c r="K191" s="879">
        <v>1</v>
      </c>
      <c r="L191" s="878">
        <v>2</v>
      </c>
      <c r="M191" s="880">
        <v>9333.33</v>
      </c>
      <c r="N191" s="879">
        <v>1</v>
      </c>
      <c r="O191" s="878">
        <v>3</v>
      </c>
      <c r="P191" s="880">
        <v>12000</v>
      </c>
    </row>
    <row r="192" spans="1:16" ht="24">
      <c r="A192" s="924" t="s">
        <v>2732</v>
      </c>
      <c r="B192" s="908" t="s">
        <v>1402</v>
      </c>
      <c r="C192" s="908" t="s">
        <v>96</v>
      </c>
      <c r="D192" s="910" t="s">
        <v>1807</v>
      </c>
      <c r="E192" s="917">
        <v>8000</v>
      </c>
      <c r="F192" s="908">
        <v>41365193</v>
      </c>
      <c r="G192" s="910" t="s">
        <v>1808</v>
      </c>
      <c r="H192" s="910" t="s">
        <v>1570</v>
      </c>
      <c r="I192" s="911" t="s">
        <v>1420</v>
      </c>
      <c r="J192" s="911" t="s">
        <v>1411</v>
      </c>
      <c r="K192" s="879">
        <v>1</v>
      </c>
      <c r="L192" s="878">
        <v>4</v>
      </c>
      <c r="M192" s="880">
        <v>36133.33</v>
      </c>
      <c r="N192" s="879">
        <v>1</v>
      </c>
      <c r="O192" s="878">
        <v>6</v>
      </c>
      <c r="P192" s="880">
        <v>48000</v>
      </c>
    </row>
    <row r="193" spans="1:16" ht="24">
      <c r="A193" s="924" t="s">
        <v>2732</v>
      </c>
      <c r="B193" s="908" t="s">
        <v>1402</v>
      </c>
      <c r="C193" s="908" t="s">
        <v>96</v>
      </c>
      <c r="D193" s="910" t="s">
        <v>1809</v>
      </c>
      <c r="E193" s="917">
        <v>8000</v>
      </c>
      <c r="F193" s="908">
        <v>29244747</v>
      </c>
      <c r="G193" s="910" t="s">
        <v>1810</v>
      </c>
      <c r="H193" s="910" t="s">
        <v>1811</v>
      </c>
      <c r="I193" s="911" t="s">
        <v>1406</v>
      </c>
      <c r="J193" s="911" t="s">
        <v>1411</v>
      </c>
      <c r="K193" s="879">
        <v>1</v>
      </c>
      <c r="L193" s="878">
        <v>12</v>
      </c>
      <c r="M193" s="880">
        <v>96300</v>
      </c>
      <c r="N193" s="879">
        <v>1</v>
      </c>
      <c r="O193" s="878">
        <v>6</v>
      </c>
      <c r="P193" s="880">
        <v>48000</v>
      </c>
    </row>
    <row r="194" spans="1:16" ht="18" customHeight="1">
      <c r="A194" s="924" t="s">
        <v>2732</v>
      </c>
      <c r="B194" s="908" t="s">
        <v>1402</v>
      </c>
      <c r="C194" s="908" t="s">
        <v>96</v>
      </c>
      <c r="D194" s="910" t="s">
        <v>1812</v>
      </c>
      <c r="E194" s="917">
        <v>7000</v>
      </c>
      <c r="F194" s="908">
        <v>18193646</v>
      </c>
      <c r="G194" s="910" t="s">
        <v>1813</v>
      </c>
      <c r="H194" s="910" t="s">
        <v>1458</v>
      </c>
      <c r="I194" s="911" t="s">
        <v>1406</v>
      </c>
      <c r="J194" s="911" t="s">
        <v>1420</v>
      </c>
      <c r="K194" s="879">
        <v>1</v>
      </c>
      <c r="L194" s="878">
        <v>4</v>
      </c>
      <c r="M194" s="880">
        <v>27066.67</v>
      </c>
      <c r="N194" s="879">
        <v>1</v>
      </c>
      <c r="O194" s="878">
        <v>6</v>
      </c>
      <c r="P194" s="880">
        <v>42000</v>
      </c>
    </row>
    <row r="195" spans="1:16" ht="24">
      <c r="A195" s="924" t="s">
        <v>2732</v>
      </c>
      <c r="B195" s="908" t="s">
        <v>1402</v>
      </c>
      <c r="C195" s="908" t="s">
        <v>96</v>
      </c>
      <c r="D195" s="910" t="s">
        <v>1814</v>
      </c>
      <c r="E195" s="917">
        <v>3500</v>
      </c>
      <c r="F195" s="908">
        <v>8059424</v>
      </c>
      <c r="G195" s="910" t="s">
        <v>1815</v>
      </c>
      <c r="H195" s="910" t="s">
        <v>1451</v>
      </c>
      <c r="I195" s="911" t="s">
        <v>1424</v>
      </c>
      <c r="J195" s="911" t="s">
        <v>1679</v>
      </c>
      <c r="K195" s="879">
        <v>1</v>
      </c>
      <c r="L195" s="878">
        <v>12</v>
      </c>
      <c r="M195" s="880">
        <v>42000</v>
      </c>
      <c r="N195" s="879">
        <v>1</v>
      </c>
      <c r="O195" s="878">
        <v>6</v>
      </c>
      <c r="P195" s="880">
        <v>21000</v>
      </c>
    </row>
    <row r="196" spans="1:16" ht="18" customHeight="1">
      <c r="A196" s="924" t="s">
        <v>2732</v>
      </c>
      <c r="B196" s="908" t="s">
        <v>1402</v>
      </c>
      <c r="C196" s="908" t="s">
        <v>96</v>
      </c>
      <c r="D196" s="910" t="s">
        <v>1816</v>
      </c>
      <c r="E196" s="917">
        <v>9000</v>
      </c>
      <c r="F196" s="908">
        <v>42177163</v>
      </c>
      <c r="G196" s="910" t="s">
        <v>1817</v>
      </c>
      <c r="H196" s="910" t="s">
        <v>1410</v>
      </c>
      <c r="I196" s="911" t="s">
        <v>1420</v>
      </c>
      <c r="J196" s="911" t="s">
        <v>1420</v>
      </c>
      <c r="K196" s="879">
        <v>1</v>
      </c>
      <c r="L196" s="878">
        <v>6</v>
      </c>
      <c r="M196" s="880">
        <v>51900</v>
      </c>
      <c r="N196" s="879">
        <v>1</v>
      </c>
      <c r="O196" s="878">
        <v>6</v>
      </c>
      <c r="P196" s="880">
        <v>54000</v>
      </c>
    </row>
    <row r="197" spans="1:16" ht="18" customHeight="1">
      <c r="A197" s="924" t="s">
        <v>2732</v>
      </c>
      <c r="B197" s="908" t="s">
        <v>1402</v>
      </c>
      <c r="C197" s="908" t="s">
        <v>96</v>
      </c>
      <c r="D197" s="910" t="s">
        <v>1693</v>
      </c>
      <c r="E197" s="917">
        <v>15600</v>
      </c>
      <c r="F197" s="908">
        <v>7261798</v>
      </c>
      <c r="G197" s="910" t="s">
        <v>1818</v>
      </c>
      <c r="H197" s="910" t="s">
        <v>1410</v>
      </c>
      <c r="I197" s="911" t="s">
        <v>1406</v>
      </c>
      <c r="J197" s="911" t="s">
        <v>1411</v>
      </c>
      <c r="K197" s="879">
        <v>1</v>
      </c>
      <c r="L197" s="878">
        <v>2</v>
      </c>
      <c r="M197" s="880">
        <v>31200</v>
      </c>
      <c r="N197" s="879">
        <v>0</v>
      </c>
      <c r="O197" s="878" t="s">
        <v>2731</v>
      </c>
      <c r="P197" s="880">
        <v>0</v>
      </c>
    </row>
    <row r="198" spans="1:16" ht="18" customHeight="1">
      <c r="A198" s="924" t="s">
        <v>2732</v>
      </c>
      <c r="B198" s="908" t="s">
        <v>1402</v>
      </c>
      <c r="C198" s="908" t="s">
        <v>96</v>
      </c>
      <c r="D198" s="910" t="s">
        <v>1754</v>
      </c>
      <c r="E198" s="917">
        <v>14500</v>
      </c>
      <c r="F198" s="908">
        <v>9875398</v>
      </c>
      <c r="G198" s="910" t="s">
        <v>1819</v>
      </c>
      <c r="H198" s="910" t="s">
        <v>1410</v>
      </c>
      <c r="I198" s="911" t="s">
        <v>1406</v>
      </c>
      <c r="J198" s="911" t="s">
        <v>1411</v>
      </c>
      <c r="K198" s="879">
        <v>1</v>
      </c>
      <c r="L198" s="878">
        <v>5</v>
      </c>
      <c r="M198" s="880">
        <v>69116.67</v>
      </c>
      <c r="N198" s="879">
        <v>0</v>
      </c>
      <c r="O198" s="878" t="s">
        <v>2731</v>
      </c>
      <c r="P198" s="880">
        <v>0</v>
      </c>
    </row>
    <row r="199" spans="1:16" ht="24">
      <c r="A199" s="924" t="s">
        <v>2732</v>
      </c>
      <c r="B199" s="908" t="s">
        <v>1402</v>
      </c>
      <c r="C199" s="908" t="s">
        <v>96</v>
      </c>
      <c r="D199" s="910" t="s">
        <v>1820</v>
      </c>
      <c r="E199" s="917">
        <v>7500</v>
      </c>
      <c r="F199" s="908">
        <v>8590983</v>
      </c>
      <c r="G199" s="910" t="s">
        <v>1821</v>
      </c>
      <c r="H199" s="910" t="s">
        <v>1410</v>
      </c>
      <c r="I199" s="911" t="s">
        <v>1406</v>
      </c>
      <c r="J199" s="911" t="s">
        <v>1411</v>
      </c>
      <c r="K199" s="879">
        <v>1</v>
      </c>
      <c r="L199" s="878">
        <v>12</v>
      </c>
      <c r="M199" s="880">
        <v>90300</v>
      </c>
      <c r="N199" s="879">
        <v>1</v>
      </c>
      <c r="O199" s="878">
        <v>6</v>
      </c>
      <c r="P199" s="880">
        <v>45000</v>
      </c>
    </row>
    <row r="200" spans="1:16" ht="24">
      <c r="A200" s="924" t="s">
        <v>2732</v>
      </c>
      <c r="B200" s="908" t="s">
        <v>1402</v>
      </c>
      <c r="C200" s="908" t="s">
        <v>96</v>
      </c>
      <c r="D200" s="910" t="s">
        <v>1822</v>
      </c>
      <c r="E200" s="917">
        <v>10000</v>
      </c>
      <c r="F200" s="908">
        <v>8765057</v>
      </c>
      <c r="G200" s="910" t="s">
        <v>1823</v>
      </c>
      <c r="H200" s="910" t="s">
        <v>1414</v>
      </c>
      <c r="I200" s="911" t="s">
        <v>1406</v>
      </c>
      <c r="J200" s="911" t="s">
        <v>1411</v>
      </c>
      <c r="K200" s="879">
        <v>1</v>
      </c>
      <c r="L200" s="878">
        <v>12</v>
      </c>
      <c r="M200" s="880">
        <v>120300</v>
      </c>
      <c r="N200" s="879">
        <v>1</v>
      </c>
      <c r="O200" s="878">
        <v>6</v>
      </c>
      <c r="P200" s="880">
        <v>60000</v>
      </c>
    </row>
    <row r="201" spans="1:16" ht="18" customHeight="1">
      <c r="A201" s="924" t="s">
        <v>2732</v>
      </c>
      <c r="B201" s="908" t="s">
        <v>1402</v>
      </c>
      <c r="C201" s="908" t="s">
        <v>96</v>
      </c>
      <c r="D201" s="910" t="s">
        <v>1708</v>
      </c>
      <c r="E201" s="917">
        <v>10000</v>
      </c>
      <c r="F201" s="908">
        <v>41059863</v>
      </c>
      <c r="G201" s="910" t="s">
        <v>1824</v>
      </c>
      <c r="H201" s="910" t="s">
        <v>1423</v>
      </c>
      <c r="I201" s="911" t="s">
        <v>1406</v>
      </c>
      <c r="J201" s="911" t="s">
        <v>1411</v>
      </c>
      <c r="K201" s="879">
        <v>1</v>
      </c>
      <c r="L201" s="878">
        <v>12</v>
      </c>
      <c r="M201" s="880">
        <v>102468.9</v>
      </c>
      <c r="N201" s="879">
        <v>1</v>
      </c>
      <c r="O201" s="878">
        <v>6</v>
      </c>
      <c r="P201" s="880">
        <v>60000</v>
      </c>
    </row>
    <row r="202" spans="1:16" ht="18" customHeight="1">
      <c r="A202" s="924" t="s">
        <v>2732</v>
      </c>
      <c r="B202" s="908" t="s">
        <v>1402</v>
      </c>
      <c r="C202" s="908" t="s">
        <v>96</v>
      </c>
      <c r="D202" s="910" t="s">
        <v>1825</v>
      </c>
      <c r="E202" s="917">
        <v>11000</v>
      </c>
      <c r="F202" s="908">
        <v>40860236</v>
      </c>
      <c r="G202" s="910" t="s">
        <v>1826</v>
      </c>
      <c r="H202" s="910" t="s">
        <v>1423</v>
      </c>
      <c r="I202" s="911" t="s">
        <v>1406</v>
      </c>
      <c r="J202" s="911" t="s">
        <v>1420</v>
      </c>
      <c r="K202" s="879">
        <v>1</v>
      </c>
      <c r="L202" s="878">
        <v>2</v>
      </c>
      <c r="M202" s="880">
        <v>25666.67</v>
      </c>
      <c r="N202" s="879">
        <v>1</v>
      </c>
      <c r="O202" s="878">
        <v>6</v>
      </c>
      <c r="P202" s="880">
        <v>66000</v>
      </c>
    </row>
    <row r="203" spans="1:16" ht="18" customHeight="1">
      <c r="A203" s="924" t="s">
        <v>2732</v>
      </c>
      <c r="B203" s="908" t="s">
        <v>1402</v>
      </c>
      <c r="C203" s="908" t="s">
        <v>96</v>
      </c>
      <c r="D203" s="910" t="s">
        <v>1827</v>
      </c>
      <c r="E203" s="917">
        <v>7500</v>
      </c>
      <c r="F203" s="908">
        <v>45160285</v>
      </c>
      <c r="G203" s="910" t="s">
        <v>1828</v>
      </c>
      <c r="H203" s="910" t="s">
        <v>1410</v>
      </c>
      <c r="I203" s="911" t="s">
        <v>1420</v>
      </c>
      <c r="J203" s="911" t="s">
        <v>1411</v>
      </c>
      <c r="K203" s="879">
        <v>1</v>
      </c>
      <c r="L203" s="878">
        <v>12</v>
      </c>
      <c r="M203" s="880">
        <v>89880</v>
      </c>
      <c r="N203" s="879">
        <v>1</v>
      </c>
      <c r="O203" s="878">
        <v>6</v>
      </c>
      <c r="P203" s="880">
        <v>45000</v>
      </c>
    </row>
    <row r="204" spans="1:16" ht="24">
      <c r="A204" s="924" t="s">
        <v>2732</v>
      </c>
      <c r="B204" s="908" t="s">
        <v>1402</v>
      </c>
      <c r="C204" s="908" t="s">
        <v>96</v>
      </c>
      <c r="D204" s="910" t="s">
        <v>1829</v>
      </c>
      <c r="E204" s="917">
        <v>10000</v>
      </c>
      <c r="F204" s="908">
        <v>41325020</v>
      </c>
      <c r="G204" s="910" t="s">
        <v>1830</v>
      </c>
      <c r="H204" s="910" t="s">
        <v>1410</v>
      </c>
      <c r="I204" s="911" t="s">
        <v>1406</v>
      </c>
      <c r="J204" s="911" t="s">
        <v>1411</v>
      </c>
      <c r="K204" s="879">
        <v>1</v>
      </c>
      <c r="L204" s="878">
        <v>12</v>
      </c>
      <c r="M204" s="880">
        <v>114966.67</v>
      </c>
      <c r="N204" s="879">
        <v>1</v>
      </c>
      <c r="O204" s="878">
        <v>1</v>
      </c>
      <c r="P204" s="880">
        <v>10000</v>
      </c>
    </row>
    <row r="205" spans="1:16" ht="18" customHeight="1">
      <c r="A205" s="924" t="s">
        <v>2732</v>
      </c>
      <c r="B205" s="908" t="s">
        <v>1402</v>
      </c>
      <c r="C205" s="908" t="s">
        <v>96</v>
      </c>
      <c r="D205" s="910" t="s">
        <v>1831</v>
      </c>
      <c r="E205" s="917">
        <v>10500</v>
      </c>
      <c r="F205" s="908">
        <v>9523633</v>
      </c>
      <c r="G205" s="910" t="s">
        <v>1832</v>
      </c>
      <c r="H205" s="910" t="s">
        <v>1725</v>
      </c>
      <c r="I205" s="911" t="s">
        <v>1480</v>
      </c>
      <c r="J205" s="911" t="s">
        <v>1420</v>
      </c>
      <c r="K205" s="879">
        <v>1</v>
      </c>
      <c r="L205" s="878">
        <v>6</v>
      </c>
      <c r="M205" s="880">
        <v>60550</v>
      </c>
      <c r="N205" s="879">
        <v>1</v>
      </c>
      <c r="O205" s="878">
        <v>6</v>
      </c>
      <c r="P205" s="880">
        <v>63000</v>
      </c>
    </row>
    <row r="206" spans="1:16" ht="24">
      <c r="A206" s="924" t="s">
        <v>2732</v>
      </c>
      <c r="B206" s="908" t="s">
        <v>1402</v>
      </c>
      <c r="C206" s="908" t="s">
        <v>96</v>
      </c>
      <c r="D206" s="910" t="s">
        <v>1833</v>
      </c>
      <c r="E206" s="917">
        <v>9000</v>
      </c>
      <c r="F206" s="908">
        <v>43320143</v>
      </c>
      <c r="G206" s="910" t="s">
        <v>1834</v>
      </c>
      <c r="H206" s="910" t="s">
        <v>1835</v>
      </c>
      <c r="I206" s="911" t="s">
        <v>1406</v>
      </c>
      <c r="J206" s="911" t="s">
        <v>1420</v>
      </c>
      <c r="K206" s="879">
        <v>1</v>
      </c>
      <c r="L206" s="878">
        <v>2</v>
      </c>
      <c r="M206" s="880">
        <v>20812.5</v>
      </c>
      <c r="N206" s="879">
        <v>1</v>
      </c>
      <c r="O206" s="878">
        <v>6</v>
      </c>
      <c r="P206" s="880">
        <v>54000</v>
      </c>
    </row>
    <row r="207" spans="1:16" ht="18" customHeight="1">
      <c r="A207" s="924" t="s">
        <v>2732</v>
      </c>
      <c r="B207" s="908" t="s">
        <v>1402</v>
      </c>
      <c r="C207" s="908" t="s">
        <v>96</v>
      </c>
      <c r="D207" s="910" t="s">
        <v>1754</v>
      </c>
      <c r="E207" s="917">
        <v>12500</v>
      </c>
      <c r="F207" s="908">
        <v>9894548</v>
      </c>
      <c r="G207" s="910" t="s">
        <v>1836</v>
      </c>
      <c r="H207" s="910" t="s">
        <v>1410</v>
      </c>
      <c r="I207" s="911" t="s">
        <v>1406</v>
      </c>
      <c r="J207" s="911" t="s">
        <v>1411</v>
      </c>
      <c r="K207" s="879">
        <v>0</v>
      </c>
      <c r="L207" s="878" t="s">
        <v>2731</v>
      </c>
      <c r="M207" s="880">
        <v>0</v>
      </c>
      <c r="N207" s="879">
        <v>1</v>
      </c>
      <c r="O207" s="878">
        <v>6</v>
      </c>
      <c r="P207" s="880">
        <v>78333.33</v>
      </c>
    </row>
    <row r="208" spans="1:16" ht="18" customHeight="1">
      <c r="A208" s="924" t="s">
        <v>2732</v>
      </c>
      <c r="B208" s="908" t="s">
        <v>1402</v>
      </c>
      <c r="C208" s="908" t="s">
        <v>96</v>
      </c>
      <c r="D208" s="910" t="s">
        <v>1837</v>
      </c>
      <c r="E208" s="917">
        <v>2800</v>
      </c>
      <c r="F208" s="908">
        <v>7217807</v>
      </c>
      <c r="G208" s="910" t="s">
        <v>1838</v>
      </c>
      <c r="H208" s="910" t="s">
        <v>1839</v>
      </c>
      <c r="I208" s="911" t="s">
        <v>1480</v>
      </c>
      <c r="J208" s="911" t="s">
        <v>1407</v>
      </c>
      <c r="K208" s="879">
        <v>1</v>
      </c>
      <c r="L208" s="878">
        <v>12</v>
      </c>
      <c r="M208" s="880">
        <v>33900</v>
      </c>
      <c r="N208" s="879">
        <v>1</v>
      </c>
      <c r="O208" s="878">
        <v>6</v>
      </c>
      <c r="P208" s="880">
        <v>16800</v>
      </c>
    </row>
    <row r="209" spans="1:16" ht="24">
      <c r="A209" s="924" t="s">
        <v>2732</v>
      </c>
      <c r="B209" s="908" t="s">
        <v>1402</v>
      </c>
      <c r="C209" s="908" t="s">
        <v>96</v>
      </c>
      <c r="D209" s="910" t="s">
        <v>1840</v>
      </c>
      <c r="E209" s="917">
        <v>6500</v>
      </c>
      <c r="F209" s="908">
        <v>41817622</v>
      </c>
      <c r="G209" s="910" t="s">
        <v>1841</v>
      </c>
      <c r="H209" s="910" t="s">
        <v>1491</v>
      </c>
      <c r="I209" s="911" t="s">
        <v>1424</v>
      </c>
      <c r="J209" s="911" t="s">
        <v>1411</v>
      </c>
      <c r="K209" s="879">
        <v>1</v>
      </c>
      <c r="L209" s="878">
        <v>12</v>
      </c>
      <c r="M209" s="880">
        <v>76144.66</v>
      </c>
      <c r="N209" s="879">
        <v>1</v>
      </c>
      <c r="O209" s="878">
        <v>6</v>
      </c>
      <c r="P209" s="880">
        <v>36626.67</v>
      </c>
    </row>
    <row r="210" spans="1:16" ht="18" customHeight="1">
      <c r="A210" s="924" t="s">
        <v>2732</v>
      </c>
      <c r="B210" s="908" t="s">
        <v>1402</v>
      </c>
      <c r="C210" s="908" t="s">
        <v>96</v>
      </c>
      <c r="D210" s="910" t="s">
        <v>1708</v>
      </c>
      <c r="E210" s="917">
        <v>10000</v>
      </c>
      <c r="F210" s="908">
        <v>40925558</v>
      </c>
      <c r="G210" s="910" t="s">
        <v>1842</v>
      </c>
      <c r="H210" s="910" t="s">
        <v>1410</v>
      </c>
      <c r="I210" s="911" t="s">
        <v>1406</v>
      </c>
      <c r="J210" s="911" t="s">
        <v>1411</v>
      </c>
      <c r="K210" s="879">
        <v>1</v>
      </c>
      <c r="L210" s="878">
        <v>6</v>
      </c>
      <c r="M210" s="880">
        <v>57666.67</v>
      </c>
      <c r="N210" s="879">
        <v>1</v>
      </c>
      <c r="O210" s="878">
        <v>3</v>
      </c>
      <c r="P210" s="880">
        <v>29666.67</v>
      </c>
    </row>
    <row r="211" spans="1:16" ht="36">
      <c r="A211" s="924" t="s">
        <v>2732</v>
      </c>
      <c r="B211" s="908" t="s">
        <v>1402</v>
      </c>
      <c r="C211" s="908" t="s">
        <v>96</v>
      </c>
      <c r="D211" s="910" t="s">
        <v>1843</v>
      </c>
      <c r="E211" s="917">
        <v>8000</v>
      </c>
      <c r="F211" s="908">
        <v>43760552</v>
      </c>
      <c r="G211" s="910" t="s">
        <v>1844</v>
      </c>
      <c r="H211" s="910" t="s">
        <v>1584</v>
      </c>
      <c r="I211" s="911" t="s">
        <v>1406</v>
      </c>
      <c r="J211" s="911" t="s">
        <v>1420</v>
      </c>
      <c r="K211" s="879">
        <v>1</v>
      </c>
      <c r="L211" s="878">
        <v>6</v>
      </c>
      <c r="M211" s="880">
        <v>46133.33</v>
      </c>
      <c r="N211" s="879">
        <v>1</v>
      </c>
      <c r="O211" s="878">
        <v>6</v>
      </c>
      <c r="P211" s="880">
        <v>48000</v>
      </c>
    </row>
    <row r="212" spans="1:16" ht="18" customHeight="1">
      <c r="A212" s="924" t="s">
        <v>2732</v>
      </c>
      <c r="B212" s="908" t="s">
        <v>1402</v>
      </c>
      <c r="C212" s="908" t="s">
        <v>96</v>
      </c>
      <c r="D212" s="910" t="s">
        <v>1539</v>
      </c>
      <c r="E212" s="917">
        <v>4800</v>
      </c>
      <c r="F212" s="908">
        <v>40177272</v>
      </c>
      <c r="G212" s="910" t="s">
        <v>1845</v>
      </c>
      <c r="H212" s="910" t="s">
        <v>1477</v>
      </c>
      <c r="I212" s="911" t="s">
        <v>1406</v>
      </c>
      <c r="J212" s="911" t="s">
        <v>1407</v>
      </c>
      <c r="K212" s="879">
        <v>1</v>
      </c>
      <c r="L212" s="878">
        <v>12</v>
      </c>
      <c r="M212" s="880">
        <v>57900</v>
      </c>
      <c r="N212" s="879">
        <v>1</v>
      </c>
      <c r="O212" s="878">
        <v>6</v>
      </c>
      <c r="P212" s="880">
        <v>28800</v>
      </c>
    </row>
    <row r="213" spans="1:16" ht="24">
      <c r="A213" s="924" t="s">
        <v>2732</v>
      </c>
      <c r="B213" s="908" t="s">
        <v>1402</v>
      </c>
      <c r="C213" s="908" t="s">
        <v>96</v>
      </c>
      <c r="D213" s="910" t="s">
        <v>1846</v>
      </c>
      <c r="E213" s="917">
        <v>15600</v>
      </c>
      <c r="F213" s="908">
        <v>41385583</v>
      </c>
      <c r="G213" s="910" t="s">
        <v>1847</v>
      </c>
      <c r="H213" s="910" t="s">
        <v>1848</v>
      </c>
      <c r="I213" s="911" t="s">
        <v>1406</v>
      </c>
      <c r="J213" s="911" t="s">
        <v>1420</v>
      </c>
      <c r="K213" s="879">
        <v>0</v>
      </c>
      <c r="L213" s="878" t="s">
        <v>2731</v>
      </c>
      <c r="M213" s="880">
        <v>0</v>
      </c>
      <c r="N213" s="879">
        <v>1</v>
      </c>
      <c r="O213" s="878">
        <v>4</v>
      </c>
      <c r="P213" s="880">
        <v>52520</v>
      </c>
    </row>
    <row r="214" spans="1:16" ht="18" customHeight="1">
      <c r="A214" s="924" t="s">
        <v>2732</v>
      </c>
      <c r="B214" s="908" t="s">
        <v>1402</v>
      </c>
      <c r="C214" s="908" t="s">
        <v>96</v>
      </c>
      <c r="D214" s="910" t="s">
        <v>1849</v>
      </c>
      <c r="E214" s="917">
        <v>8000</v>
      </c>
      <c r="F214" s="908">
        <v>6064694</v>
      </c>
      <c r="G214" s="910" t="s">
        <v>1850</v>
      </c>
      <c r="H214" s="910" t="s">
        <v>1565</v>
      </c>
      <c r="I214" s="911" t="s">
        <v>1406</v>
      </c>
      <c r="J214" s="911" t="s">
        <v>1411</v>
      </c>
      <c r="K214" s="879">
        <v>1</v>
      </c>
      <c r="L214" s="878">
        <v>12</v>
      </c>
      <c r="M214" s="880">
        <v>83033.33</v>
      </c>
      <c r="N214" s="879">
        <v>1</v>
      </c>
      <c r="O214" s="878">
        <v>6</v>
      </c>
      <c r="P214" s="880">
        <v>48000</v>
      </c>
    </row>
    <row r="215" spans="1:16" ht="18" customHeight="1">
      <c r="A215" s="924" t="s">
        <v>2732</v>
      </c>
      <c r="B215" s="908" t="s">
        <v>1402</v>
      </c>
      <c r="C215" s="908" t="s">
        <v>96</v>
      </c>
      <c r="D215" s="910" t="s">
        <v>1851</v>
      </c>
      <c r="E215" s="917">
        <v>2000</v>
      </c>
      <c r="F215" s="908">
        <v>16697099</v>
      </c>
      <c r="G215" s="910" t="s">
        <v>1852</v>
      </c>
      <c r="H215" s="910" t="s">
        <v>1853</v>
      </c>
      <c r="I215" s="911" t="s">
        <v>1424</v>
      </c>
      <c r="J215" s="911" t="s">
        <v>1407</v>
      </c>
      <c r="K215" s="879">
        <v>1</v>
      </c>
      <c r="L215" s="878">
        <v>12</v>
      </c>
      <c r="M215" s="880">
        <v>23756.160000000003</v>
      </c>
      <c r="N215" s="879">
        <v>1</v>
      </c>
      <c r="O215" s="878">
        <v>6</v>
      </c>
      <c r="P215" s="880">
        <v>11933.33</v>
      </c>
    </row>
    <row r="216" spans="1:16" ht="18" customHeight="1">
      <c r="A216" s="924" t="s">
        <v>2732</v>
      </c>
      <c r="B216" s="908" t="s">
        <v>1402</v>
      </c>
      <c r="C216" s="908" t="s">
        <v>96</v>
      </c>
      <c r="D216" s="910" t="s">
        <v>1464</v>
      </c>
      <c r="E216" s="917">
        <v>4500</v>
      </c>
      <c r="F216" s="908">
        <v>10291545</v>
      </c>
      <c r="G216" s="910" t="s">
        <v>1854</v>
      </c>
      <c r="H216" s="910" t="s">
        <v>1432</v>
      </c>
      <c r="I216" s="911" t="s">
        <v>1424</v>
      </c>
      <c r="J216" s="911" t="s">
        <v>1407</v>
      </c>
      <c r="K216" s="879">
        <v>1</v>
      </c>
      <c r="L216" s="878">
        <v>12</v>
      </c>
      <c r="M216" s="880">
        <v>54300</v>
      </c>
      <c r="N216" s="879">
        <v>1</v>
      </c>
      <c r="O216" s="878">
        <v>6</v>
      </c>
      <c r="P216" s="880">
        <v>27000</v>
      </c>
    </row>
    <row r="217" spans="1:16" ht="24">
      <c r="A217" s="924" t="s">
        <v>2732</v>
      </c>
      <c r="B217" s="908" t="s">
        <v>1402</v>
      </c>
      <c r="C217" s="908" t="s">
        <v>96</v>
      </c>
      <c r="D217" s="910" t="s">
        <v>1855</v>
      </c>
      <c r="E217" s="917">
        <v>8000</v>
      </c>
      <c r="F217" s="908">
        <v>4828940</v>
      </c>
      <c r="G217" s="910" t="s">
        <v>1856</v>
      </c>
      <c r="H217" s="910" t="s">
        <v>1471</v>
      </c>
      <c r="I217" s="911" t="s">
        <v>1480</v>
      </c>
      <c r="J217" s="911" t="s">
        <v>1420</v>
      </c>
      <c r="K217" s="879">
        <v>1</v>
      </c>
      <c r="L217" s="878">
        <v>6</v>
      </c>
      <c r="M217" s="880">
        <v>46133.33</v>
      </c>
      <c r="N217" s="879">
        <v>1</v>
      </c>
      <c r="O217" s="878">
        <v>6</v>
      </c>
      <c r="P217" s="880">
        <v>48000</v>
      </c>
    </row>
    <row r="218" spans="1:16" ht="18" customHeight="1">
      <c r="A218" s="924" t="s">
        <v>2732</v>
      </c>
      <c r="B218" s="908" t="s">
        <v>1402</v>
      </c>
      <c r="C218" s="908" t="s">
        <v>96</v>
      </c>
      <c r="D218" s="910" t="s">
        <v>1857</v>
      </c>
      <c r="E218" s="917">
        <v>7500</v>
      </c>
      <c r="F218" s="908">
        <v>6131130</v>
      </c>
      <c r="G218" s="910" t="s">
        <v>1858</v>
      </c>
      <c r="H218" s="910" t="s">
        <v>1519</v>
      </c>
      <c r="I218" s="911" t="s">
        <v>1420</v>
      </c>
      <c r="J218" s="911" t="s">
        <v>1411</v>
      </c>
      <c r="K218" s="879">
        <v>1</v>
      </c>
      <c r="L218" s="878">
        <v>12</v>
      </c>
      <c r="M218" s="880">
        <v>90300</v>
      </c>
      <c r="N218" s="879">
        <v>1</v>
      </c>
      <c r="O218" s="878">
        <v>6</v>
      </c>
      <c r="P218" s="880">
        <v>45000</v>
      </c>
    </row>
    <row r="219" spans="1:16" ht="18" customHeight="1">
      <c r="A219" s="924" t="s">
        <v>2732</v>
      </c>
      <c r="B219" s="908" t="s">
        <v>1402</v>
      </c>
      <c r="C219" s="908" t="s">
        <v>96</v>
      </c>
      <c r="D219" s="910" t="s">
        <v>1685</v>
      </c>
      <c r="E219" s="917">
        <v>15600</v>
      </c>
      <c r="F219" s="908">
        <v>9304863</v>
      </c>
      <c r="G219" s="910" t="s">
        <v>1859</v>
      </c>
      <c r="H219" s="910" t="s">
        <v>1410</v>
      </c>
      <c r="I219" s="911" t="s">
        <v>1420</v>
      </c>
      <c r="J219" s="911" t="s">
        <v>1411</v>
      </c>
      <c r="K219" s="879">
        <v>1</v>
      </c>
      <c r="L219" s="878">
        <v>9</v>
      </c>
      <c r="M219" s="880">
        <v>139560</v>
      </c>
      <c r="N219" s="879">
        <v>0</v>
      </c>
      <c r="O219" s="878" t="s">
        <v>2731</v>
      </c>
      <c r="P219" s="880">
        <v>0</v>
      </c>
    </row>
    <row r="220" spans="1:16" ht="18" customHeight="1">
      <c r="A220" s="924" t="s">
        <v>2732</v>
      </c>
      <c r="B220" s="908" t="s">
        <v>1402</v>
      </c>
      <c r="C220" s="908" t="s">
        <v>96</v>
      </c>
      <c r="D220" s="910" t="s">
        <v>1539</v>
      </c>
      <c r="E220" s="917">
        <v>3500</v>
      </c>
      <c r="F220" s="908">
        <v>40171543</v>
      </c>
      <c r="G220" s="910" t="s">
        <v>1860</v>
      </c>
      <c r="H220" s="910" t="s">
        <v>1477</v>
      </c>
      <c r="I220" s="911" t="s">
        <v>1480</v>
      </c>
      <c r="J220" s="911" t="s">
        <v>1407</v>
      </c>
      <c r="K220" s="879">
        <v>1</v>
      </c>
      <c r="L220" s="878">
        <v>12</v>
      </c>
      <c r="M220" s="880">
        <v>42183.33</v>
      </c>
      <c r="N220" s="879">
        <v>1</v>
      </c>
      <c r="O220" s="878">
        <v>6</v>
      </c>
      <c r="P220" s="880">
        <v>21000</v>
      </c>
    </row>
    <row r="221" spans="1:16" ht="18" customHeight="1">
      <c r="A221" s="924" t="s">
        <v>2732</v>
      </c>
      <c r="B221" s="908" t="s">
        <v>1402</v>
      </c>
      <c r="C221" s="908" t="s">
        <v>96</v>
      </c>
      <c r="D221" s="910" t="s">
        <v>1533</v>
      </c>
      <c r="E221" s="917">
        <v>10000</v>
      </c>
      <c r="F221" s="908">
        <v>9005810</v>
      </c>
      <c r="G221" s="910" t="s">
        <v>1861</v>
      </c>
      <c r="H221" s="910" t="s">
        <v>1410</v>
      </c>
      <c r="I221" s="911" t="s">
        <v>1420</v>
      </c>
      <c r="J221" s="911" t="s">
        <v>1411</v>
      </c>
      <c r="K221" s="879">
        <v>1</v>
      </c>
      <c r="L221" s="878">
        <v>12</v>
      </c>
      <c r="M221" s="880">
        <v>120300</v>
      </c>
      <c r="N221" s="879">
        <v>1</v>
      </c>
      <c r="O221" s="878">
        <v>6</v>
      </c>
      <c r="P221" s="880">
        <v>60000</v>
      </c>
    </row>
    <row r="222" spans="1:16" ht="18" customHeight="1">
      <c r="A222" s="924" t="s">
        <v>2732</v>
      </c>
      <c r="B222" s="908" t="s">
        <v>1402</v>
      </c>
      <c r="C222" s="908" t="s">
        <v>96</v>
      </c>
      <c r="D222" s="910" t="s">
        <v>1751</v>
      </c>
      <c r="E222" s="917">
        <v>13500</v>
      </c>
      <c r="F222" s="908">
        <v>8564814</v>
      </c>
      <c r="G222" s="910" t="s">
        <v>1862</v>
      </c>
      <c r="H222" s="910" t="s">
        <v>1863</v>
      </c>
      <c r="I222" s="911" t="s">
        <v>1406</v>
      </c>
      <c r="J222" s="911" t="s">
        <v>1411</v>
      </c>
      <c r="K222" s="879">
        <v>1</v>
      </c>
      <c r="L222" s="878">
        <v>12</v>
      </c>
      <c r="M222" s="880">
        <v>162300</v>
      </c>
      <c r="N222" s="879">
        <v>1</v>
      </c>
      <c r="O222" s="878">
        <v>6</v>
      </c>
      <c r="P222" s="880">
        <v>81000</v>
      </c>
    </row>
    <row r="223" spans="1:16" ht="24">
      <c r="A223" s="924" t="s">
        <v>2732</v>
      </c>
      <c r="B223" s="908" t="s">
        <v>1402</v>
      </c>
      <c r="C223" s="908" t="s">
        <v>96</v>
      </c>
      <c r="D223" s="910" t="s">
        <v>1864</v>
      </c>
      <c r="E223" s="917">
        <v>12000</v>
      </c>
      <c r="F223" s="908">
        <v>7938815</v>
      </c>
      <c r="G223" s="910" t="s">
        <v>1865</v>
      </c>
      <c r="H223" s="910" t="s">
        <v>1504</v>
      </c>
      <c r="I223" s="911" t="s">
        <v>1480</v>
      </c>
      <c r="J223" s="911" t="s">
        <v>1420</v>
      </c>
      <c r="K223" s="879">
        <v>1</v>
      </c>
      <c r="L223" s="878">
        <v>6</v>
      </c>
      <c r="M223" s="880">
        <v>69200</v>
      </c>
      <c r="N223" s="879">
        <v>1</v>
      </c>
      <c r="O223" s="878">
        <v>6</v>
      </c>
      <c r="P223" s="880">
        <v>72000</v>
      </c>
    </row>
    <row r="224" spans="1:16" ht="18" customHeight="1">
      <c r="A224" s="924" t="s">
        <v>2732</v>
      </c>
      <c r="B224" s="908" t="s">
        <v>1402</v>
      </c>
      <c r="C224" s="908" t="s">
        <v>96</v>
      </c>
      <c r="D224" s="910" t="s">
        <v>1816</v>
      </c>
      <c r="E224" s="917">
        <v>9000</v>
      </c>
      <c r="F224" s="908">
        <v>43242038</v>
      </c>
      <c r="G224" s="910" t="s">
        <v>1866</v>
      </c>
      <c r="H224" s="910" t="s">
        <v>1410</v>
      </c>
      <c r="I224" s="911" t="s">
        <v>1480</v>
      </c>
      <c r="J224" s="911" t="s">
        <v>1420</v>
      </c>
      <c r="K224" s="879">
        <v>1</v>
      </c>
      <c r="L224" s="878">
        <v>6</v>
      </c>
      <c r="M224" s="880">
        <v>51020</v>
      </c>
      <c r="N224" s="879">
        <v>1</v>
      </c>
      <c r="O224" s="878">
        <v>6</v>
      </c>
      <c r="P224" s="880">
        <v>53175.92</v>
      </c>
    </row>
    <row r="225" spans="1:16" ht="18" customHeight="1">
      <c r="A225" s="924" t="s">
        <v>2732</v>
      </c>
      <c r="B225" s="908" t="s">
        <v>1402</v>
      </c>
      <c r="C225" s="908" t="s">
        <v>96</v>
      </c>
      <c r="D225" s="910" t="s">
        <v>1867</v>
      </c>
      <c r="E225" s="917">
        <v>8000</v>
      </c>
      <c r="F225" s="908">
        <v>16780752</v>
      </c>
      <c r="G225" s="910" t="s">
        <v>1868</v>
      </c>
      <c r="H225" s="910" t="s">
        <v>1869</v>
      </c>
      <c r="I225" s="911" t="s">
        <v>1480</v>
      </c>
      <c r="J225" s="911" t="s">
        <v>1411</v>
      </c>
      <c r="K225" s="879">
        <v>1</v>
      </c>
      <c r="L225" s="878">
        <v>12</v>
      </c>
      <c r="M225" s="880">
        <v>88796.89</v>
      </c>
      <c r="N225" s="879">
        <v>1</v>
      </c>
      <c r="O225" s="878">
        <v>6</v>
      </c>
      <c r="P225" s="880">
        <v>47874</v>
      </c>
    </row>
    <row r="226" spans="1:16" ht="18" customHeight="1">
      <c r="A226" s="924" t="s">
        <v>2732</v>
      </c>
      <c r="B226" s="908" t="s">
        <v>1402</v>
      </c>
      <c r="C226" s="908" t="s">
        <v>96</v>
      </c>
      <c r="D226" s="910" t="s">
        <v>1870</v>
      </c>
      <c r="E226" s="917">
        <v>7000</v>
      </c>
      <c r="F226" s="908">
        <v>40089265</v>
      </c>
      <c r="G226" s="910" t="s">
        <v>1871</v>
      </c>
      <c r="H226" s="910" t="s">
        <v>1461</v>
      </c>
      <c r="I226" s="911" t="s">
        <v>1406</v>
      </c>
      <c r="J226" s="911" t="s">
        <v>1411</v>
      </c>
      <c r="K226" s="879">
        <v>1</v>
      </c>
      <c r="L226" s="878">
        <v>12</v>
      </c>
      <c r="M226" s="880">
        <v>79992.67</v>
      </c>
      <c r="N226" s="879">
        <v>1</v>
      </c>
      <c r="O226" s="878">
        <v>6</v>
      </c>
      <c r="P226" s="880">
        <v>42000</v>
      </c>
    </row>
    <row r="227" spans="1:16" ht="18" customHeight="1">
      <c r="A227" s="924" t="s">
        <v>2732</v>
      </c>
      <c r="B227" s="908" t="s">
        <v>1402</v>
      </c>
      <c r="C227" s="908" t="s">
        <v>96</v>
      </c>
      <c r="D227" s="910" t="s">
        <v>1872</v>
      </c>
      <c r="E227" s="917">
        <v>6000</v>
      </c>
      <c r="F227" s="908">
        <v>72407987</v>
      </c>
      <c r="G227" s="910" t="s">
        <v>1873</v>
      </c>
      <c r="H227" s="910" t="s">
        <v>1874</v>
      </c>
      <c r="I227" s="911" t="s">
        <v>1420</v>
      </c>
      <c r="J227" s="911" t="s">
        <v>1411</v>
      </c>
      <c r="K227" s="879">
        <v>1</v>
      </c>
      <c r="L227" s="878">
        <v>6</v>
      </c>
      <c r="M227" s="880">
        <v>34600</v>
      </c>
      <c r="N227" s="879">
        <v>1</v>
      </c>
      <c r="O227" s="878">
        <v>6</v>
      </c>
      <c r="P227" s="880">
        <v>36000</v>
      </c>
    </row>
    <row r="228" spans="1:16" ht="24">
      <c r="A228" s="924" t="s">
        <v>2732</v>
      </c>
      <c r="B228" s="908" t="s">
        <v>1402</v>
      </c>
      <c r="C228" s="908" t="s">
        <v>96</v>
      </c>
      <c r="D228" s="910" t="s">
        <v>1875</v>
      </c>
      <c r="E228" s="917">
        <v>15600</v>
      </c>
      <c r="F228" s="908">
        <v>42312646</v>
      </c>
      <c r="G228" s="910" t="s">
        <v>1876</v>
      </c>
      <c r="H228" s="910" t="s">
        <v>1410</v>
      </c>
      <c r="I228" s="911" t="s">
        <v>1406</v>
      </c>
      <c r="J228" s="911" t="s">
        <v>1411</v>
      </c>
      <c r="K228" s="879">
        <v>1</v>
      </c>
      <c r="L228" s="878">
        <v>3</v>
      </c>
      <c r="M228" s="880">
        <v>34800</v>
      </c>
      <c r="N228" s="879">
        <v>1</v>
      </c>
      <c r="O228" s="878">
        <v>6</v>
      </c>
      <c r="P228" s="880">
        <v>72900</v>
      </c>
    </row>
    <row r="229" spans="1:16" ht="18" customHeight="1">
      <c r="A229" s="924" t="s">
        <v>2732</v>
      </c>
      <c r="B229" s="908" t="s">
        <v>1402</v>
      </c>
      <c r="C229" s="908" t="s">
        <v>96</v>
      </c>
      <c r="D229" s="910" t="s">
        <v>1598</v>
      </c>
      <c r="E229" s="917">
        <v>11000</v>
      </c>
      <c r="F229" s="908">
        <v>10385489</v>
      </c>
      <c r="G229" s="910" t="s">
        <v>1877</v>
      </c>
      <c r="H229" s="910" t="s">
        <v>1625</v>
      </c>
      <c r="I229" s="911" t="s">
        <v>1406</v>
      </c>
      <c r="J229" s="911" t="s">
        <v>1411</v>
      </c>
      <c r="K229" s="879">
        <v>1</v>
      </c>
      <c r="L229" s="878">
        <v>12</v>
      </c>
      <c r="M229" s="880">
        <v>103083.33</v>
      </c>
      <c r="N229" s="879">
        <v>1</v>
      </c>
      <c r="O229" s="878">
        <v>6</v>
      </c>
      <c r="P229" s="880">
        <v>66000</v>
      </c>
    </row>
    <row r="230" spans="1:16" ht="18" customHeight="1">
      <c r="A230" s="924" t="s">
        <v>2732</v>
      </c>
      <c r="B230" s="908" t="s">
        <v>1402</v>
      </c>
      <c r="C230" s="908" t="s">
        <v>96</v>
      </c>
      <c r="D230" s="910" t="s">
        <v>1478</v>
      </c>
      <c r="E230" s="917">
        <v>4500</v>
      </c>
      <c r="F230" s="908">
        <v>10353132</v>
      </c>
      <c r="G230" s="910" t="s">
        <v>1878</v>
      </c>
      <c r="H230" s="910" t="s">
        <v>1560</v>
      </c>
      <c r="I230" s="911" t="s">
        <v>1480</v>
      </c>
      <c r="J230" s="911" t="s">
        <v>1407</v>
      </c>
      <c r="K230" s="879">
        <v>1</v>
      </c>
      <c r="L230" s="878">
        <v>12</v>
      </c>
      <c r="M230" s="880">
        <v>44550</v>
      </c>
      <c r="N230" s="879">
        <v>1</v>
      </c>
      <c r="O230" s="878">
        <v>6</v>
      </c>
      <c r="P230" s="880">
        <v>27000</v>
      </c>
    </row>
    <row r="231" spans="1:16" ht="24">
      <c r="A231" s="924" t="s">
        <v>2732</v>
      </c>
      <c r="B231" s="908" t="s">
        <v>1402</v>
      </c>
      <c r="C231" s="908" t="s">
        <v>96</v>
      </c>
      <c r="D231" s="910" t="s">
        <v>1879</v>
      </c>
      <c r="E231" s="917">
        <v>6000</v>
      </c>
      <c r="F231" s="908">
        <v>20057661</v>
      </c>
      <c r="G231" s="910" t="s">
        <v>1880</v>
      </c>
      <c r="H231" s="910" t="s">
        <v>1584</v>
      </c>
      <c r="I231" s="911" t="s">
        <v>1406</v>
      </c>
      <c r="J231" s="911" t="s">
        <v>1411</v>
      </c>
      <c r="K231" s="879">
        <v>1</v>
      </c>
      <c r="L231" s="878">
        <v>2</v>
      </c>
      <c r="M231" s="880">
        <v>14000</v>
      </c>
      <c r="N231" s="879">
        <v>1</v>
      </c>
      <c r="O231" s="878">
        <v>6</v>
      </c>
      <c r="P231" s="880">
        <v>36000</v>
      </c>
    </row>
    <row r="232" spans="1:16" ht="15.95" customHeight="1">
      <c r="A232" s="924" t="s">
        <v>2732</v>
      </c>
      <c r="B232" s="908" t="s">
        <v>1402</v>
      </c>
      <c r="C232" s="908" t="s">
        <v>96</v>
      </c>
      <c r="D232" s="910" t="s">
        <v>1881</v>
      </c>
      <c r="E232" s="917">
        <v>3000</v>
      </c>
      <c r="F232" s="908">
        <v>70443805</v>
      </c>
      <c r="G232" s="910" t="s">
        <v>1882</v>
      </c>
      <c r="H232" s="910" t="s">
        <v>1432</v>
      </c>
      <c r="I232" s="911" t="s">
        <v>1406</v>
      </c>
      <c r="J232" s="911" t="s">
        <v>1407</v>
      </c>
      <c r="K232" s="879">
        <v>1</v>
      </c>
      <c r="L232" s="878">
        <v>12</v>
      </c>
      <c r="M232" s="880">
        <v>36300</v>
      </c>
      <c r="N232" s="879">
        <v>1</v>
      </c>
      <c r="O232" s="878">
        <v>6</v>
      </c>
      <c r="P232" s="880">
        <v>18000</v>
      </c>
    </row>
    <row r="233" spans="1:16">
      <c r="A233" s="924" t="s">
        <v>2732</v>
      </c>
      <c r="B233" s="908" t="s">
        <v>1402</v>
      </c>
      <c r="C233" s="908" t="s">
        <v>96</v>
      </c>
      <c r="D233" s="910" t="s">
        <v>1630</v>
      </c>
      <c r="E233" s="917">
        <v>12000</v>
      </c>
      <c r="F233" s="908">
        <v>32887944</v>
      </c>
      <c r="G233" s="910" t="s">
        <v>1883</v>
      </c>
      <c r="H233" s="910" t="s">
        <v>1884</v>
      </c>
      <c r="I233" s="911" t="s">
        <v>1406</v>
      </c>
      <c r="J233" s="911" t="s">
        <v>1411</v>
      </c>
      <c r="K233" s="879">
        <v>1</v>
      </c>
      <c r="L233" s="878">
        <v>12</v>
      </c>
      <c r="M233" s="880">
        <v>144113.02000000002</v>
      </c>
      <c r="N233" s="879">
        <v>1</v>
      </c>
      <c r="O233" s="878">
        <v>6</v>
      </c>
      <c r="P233" s="880">
        <v>72000</v>
      </c>
    </row>
    <row r="234" spans="1:16" ht="24">
      <c r="A234" s="924" t="s">
        <v>2732</v>
      </c>
      <c r="B234" s="908" t="s">
        <v>1402</v>
      </c>
      <c r="C234" s="908" t="s">
        <v>96</v>
      </c>
      <c r="D234" s="910" t="s">
        <v>1885</v>
      </c>
      <c r="E234" s="917">
        <v>8500</v>
      </c>
      <c r="F234" s="908">
        <v>40276335</v>
      </c>
      <c r="G234" s="910" t="s">
        <v>1886</v>
      </c>
      <c r="H234" s="910" t="s">
        <v>1414</v>
      </c>
      <c r="I234" s="911" t="s">
        <v>1406</v>
      </c>
      <c r="J234" s="911" t="s">
        <v>1411</v>
      </c>
      <c r="K234" s="879">
        <v>1</v>
      </c>
      <c r="L234" s="878">
        <v>9</v>
      </c>
      <c r="M234" s="880">
        <v>74433.260000000009</v>
      </c>
      <c r="N234" s="879">
        <v>1</v>
      </c>
      <c r="O234" s="878">
        <v>6</v>
      </c>
      <c r="P234" s="880">
        <v>51000</v>
      </c>
    </row>
    <row r="235" spans="1:16" ht="15.95" customHeight="1">
      <c r="A235" s="924" t="s">
        <v>2732</v>
      </c>
      <c r="B235" s="908" t="s">
        <v>1402</v>
      </c>
      <c r="C235" s="908" t="s">
        <v>96</v>
      </c>
      <c r="D235" s="910" t="s">
        <v>1887</v>
      </c>
      <c r="E235" s="917">
        <v>6000</v>
      </c>
      <c r="F235" s="908">
        <v>9216502</v>
      </c>
      <c r="G235" s="910" t="s">
        <v>1888</v>
      </c>
      <c r="H235" s="910" t="s">
        <v>1547</v>
      </c>
      <c r="I235" s="911" t="s">
        <v>1406</v>
      </c>
      <c r="J235" s="911" t="s">
        <v>1411</v>
      </c>
      <c r="K235" s="879">
        <v>1</v>
      </c>
      <c r="L235" s="878">
        <v>12</v>
      </c>
      <c r="M235" s="880">
        <v>72300</v>
      </c>
      <c r="N235" s="879">
        <v>1</v>
      </c>
      <c r="O235" s="878">
        <v>6</v>
      </c>
      <c r="P235" s="880">
        <v>36000</v>
      </c>
    </row>
    <row r="236" spans="1:16" ht="15.95" customHeight="1">
      <c r="A236" s="924" t="s">
        <v>2732</v>
      </c>
      <c r="B236" s="908" t="s">
        <v>1402</v>
      </c>
      <c r="C236" s="908" t="s">
        <v>96</v>
      </c>
      <c r="D236" s="910" t="s">
        <v>1851</v>
      </c>
      <c r="E236" s="917">
        <v>2000</v>
      </c>
      <c r="F236" s="908">
        <v>41466915</v>
      </c>
      <c r="G236" s="910" t="s">
        <v>1889</v>
      </c>
      <c r="H236" s="910" t="s">
        <v>1890</v>
      </c>
      <c r="I236" s="911" t="s">
        <v>1406</v>
      </c>
      <c r="J236" s="911" t="s">
        <v>1407</v>
      </c>
      <c r="K236" s="879">
        <v>1</v>
      </c>
      <c r="L236" s="878">
        <v>12</v>
      </c>
      <c r="M236" s="880">
        <v>23998.31</v>
      </c>
      <c r="N236" s="879">
        <v>1</v>
      </c>
      <c r="O236" s="878">
        <v>6</v>
      </c>
      <c r="P236" s="880">
        <v>11866.67</v>
      </c>
    </row>
    <row r="237" spans="1:16" ht="15.95" customHeight="1">
      <c r="A237" s="924" t="s">
        <v>2732</v>
      </c>
      <c r="B237" s="908" t="s">
        <v>1402</v>
      </c>
      <c r="C237" s="908" t="s">
        <v>96</v>
      </c>
      <c r="D237" s="910" t="s">
        <v>1891</v>
      </c>
      <c r="E237" s="917">
        <v>15600</v>
      </c>
      <c r="F237" s="908">
        <v>43610802</v>
      </c>
      <c r="G237" s="910" t="s">
        <v>1892</v>
      </c>
      <c r="H237" s="910" t="s">
        <v>1410</v>
      </c>
      <c r="I237" s="911" t="s">
        <v>1406</v>
      </c>
      <c r="J237" s="911" t="s">
        <v>1411</v>
      </c>
      <c r="K237" s="879">
        <v>0</v>
      </c>
      <c r="L237" s="878" t="s">
        <v>2731</v>
      </c>
      <c r="M237" s="880">
        <v>0</v>
      </c>
      <c r="N237" s="879">
        <v>1</v>
      </c>
      <c r="O237" s="878">
        <v>2</v>
      </c>
      <c r="P237" s="880">
        <v>29640</v>
      </c>
    </row>
    <row r="238" spans="1:16" ht="15.95" customHeight="1">
      <c r="A238" s="924" t="s">
        <v>2732</v>
      </c>
      <c r="B238" s="908" t="s">
        <v>1402</v>
      </c>
      <c r="C238" s="908" t="s">
        <v>96</v>
      </c>
      <c r="D238" s="910" t="s">
        <v>1893</v>
      </c>
      <c r="E238" s="917">
        <v>6000</v>
      </c>
      <c r="F238" s="908">
        <v>46319986</v>
      </c>
      <c r="G238" s="910" t="s">
        <v>1894</v>
      </c>
      <c r="H238" s="910" t="s">
        <v>1461</v>
      </c>
      <c r="I238" s="911" t="s">
        <v>1406</v>
      </c>
      <c r="J238" s="911" t="s">
        <v>1411</v>
      </c>
      <c r="K238" s="879">
        <v>1</v>
      </c>
      <c r="L238" s="878">
        <v>12</v>
      </c>
      <c r="M238" s="880">
        <v>72300</v>
      </c>
      <c r="N238" s="879">
        <v>1</v>
      </c>
      <c r="O238" s="878">
        <v>6</v>
      </c>
      <c r="P238" s="880">
        <v>31786</v>
      </c>
    </row>
    <row r="239" spans="1:16" ht="15.95" customHeight="1">
      <c r="A239" s="924" t="s">
        <v>2732</v>
      </c>
      <c r="B239" s="908" t="s">
        <v>1402</v>
      </c>
      <c r="C239" s="908" t="s">
        <v>96</v>
      </c>
      <c r="D239" s="910" t="s">
        <v>1895</v>
      </c>
      <c r="E239" s="917">
        <v>7000</v>
      </c>
      <c r="F239" s="908">
        <v>42485135</v>
      </c>
      <c r="G239" s="910" t="s">
        <v>1896</v>
      </c>
      <c r="H239" s="910" t="s">
        <v>1565</v>
      </c>
      <c r="I239" s="911" t="s">
        <v>1406</v>
      </c>
      <c r="J239" s="911" t="s">
        <v>1411</v>
      </c>
      <c r="K239" s="879">
        <v>1</v>
      </c>
      <c r="L239" s="878">
        <v>6</v>
      </c>
      <c r="M239" s="880">
        <v>39900</v>
      </c>
      <c r="N239" s="879">
        <v>1</v>
      </c>
      <c r="O239" s="878">
        <v>1</v>
      </c>
      <c r="P239" s="880">
        <v>7000</v>
      </c>
    </row>
    <row r="240" spans="1:16" ht="15.95" customHeight="1">
      <c r="A240" s="924" t="s">
        <v>2732</v>
      </c>
      <c r="B240" s="908" t="s">
        <v>1402</v>
      </c>
      <c r="C240" s="908" t="s">
        <v>96</v>
      </c>
      <c r="D240" s="910" t="s">
        <v>1897</v>
      </c>
      <c r="E240" s="917">
        <v>7000</v>
      </c>
      <c r="F240" s="908">
        <v>10738465</v>
      </c>
      <c r="G240" s="910" t="s">
        <v>1898</v>
      </c>
      <c r="H240" s="910" t="s">
        <v>1753</v>
      </c>
      <c r="I240" s="911" t="s">
        <v>1406</v>
      </c>
      <c r="J240" s="911" t="s">
        <v>1411</v>
      </c>
      <c r="K240" s="879">
        <v>1</v>
      </c>
      <c r="L240" s="878">
        <v>11</v>
      </c>
      <c r="M240" s="880">
        <v>73800</v>
      </c>
      <c r="N240" s="879">
        <v>0</v>
      </c>
      <c r="O240" s="878" t="s">
        <v>2731</v>
      </c>
      <c r="P240" s="880">
        <v>0</v>
      </c>
    </row>
    <row r="241" spans="1:16" ht="15.95" customHeight="1">
      <c r="A241" s="924" t="s">
        <v>2732</v>
      </c>
      <c r="B241" s="908" t="s">
        <v>1402</v>
      </c>
      <c r="C241" s="908" t="s">
        <v>96</v>
      </c>
      <c r="D241" s="910" t="s">
        <v>1899</v>
      </c>
      <c r="E241" s="917">
        <v>5000</v>
      </c>
      <c r="F241" s="908">
        <v>41225073</v>
      </c>
      <c r="G241" s="910" t="s">
        <v>1900</v>
      </c>
      <c r="H241" s="910" t="s">
        <v>1565</v>
      </c>
      <c r="I241" s="911" t="s">
        <v>1420</v>
      </c>
      <c r="J241" s="911" t="s">
        <v>1411</v>
      </c>
      <c r="K241" s="879">
        <v>1</v>
      </c>
      <c r="L241" s="878">
        <v>12</v>
      </c>
      <c r="M241" s="880">
        <v>60000</v>
      </c>
      <c r="N241" s="879">
        <v>1</v>
      </c>
      <c r="O241" s="878">
        <v>1</v>
      </c>
      <c r="P241" s="880">
        <v>2500</v>
      </c>
    </row>
    <row r="242" spans="1:16" ht="15.95" customHeight="1">
      <c r="A242" s="924" t="s">
        <v>2732</v>
      </c>
      <c r="B242" s="908" t="s">
        <v>1402</v>
      </c>
      <c r="C242" s="908" t="s">
        <v>96</v>
      </c>
      <c r="D242" s="910" t="s">
        <v>1901</v>
      </c>
      <c r="E242" s="917">
        <v>8500</v>
      </c>
      <c r="F242" s="908">
        <v>8011043</v>
      </c>
      <c r="G242" s="910" t="s">
        <v>1902</v>
      </c>
      <c r="H242" s="910" t="s">
        <v>1417</v>
      </c>
      <c r="I242" s="911" t="s">
        <v>1420</v>
      </c>
      <c r="J242" s="911" t="s">
        <v>1411</v>
      </c>
      <c r="K242" s="879">
        <v>1</v>
      </c>
      <c r="L242" s="878">
        <v>12</v>
      </c>
      <c r="M242" s="880">
        <v>102300</v>
      </c>
      <c r="N242" s="879">
        <v>1</v>
      </c>
      <c r="O242" s="878">
        <v>6</v>
      </c>
      <c r="P242" s="880">
        <v>51000</v>
      </c>
    </row>
    <row r="243" spans="1:16" ht="15.95" customHeight="1">
      <c r="A243" s="924" t="s">
        <v>2732</v>
      </c>
      <c r="B243" s="908" t="s">
        <v>1402</v>
      </c>
      <c r="C243" s="908" t="s">
        <v>96</v>
      </c>
      <c r="D243" s="910" t="s">
        <v>1903</v>
      </c>
      <c r="E243" s="917">
        <v>8000</v>
      </c>
      <c r="F243" s="908">
        <v>42534667</v>
      </c>
      <c r="G243" s="910" t="s">
        <v>1904</v>
      </c>
      <c r="H243" s="910" t="s">
        <v>1414</v>
      </c>
      <c r="I243" s="911" t="s">
        <v>1406</v>
      </c>
      <c r="J243" s="911" t="s">
        <v>1420</v>
      </c>
      <c r="K243" s="879">
        <v>1</v>
      </c>
      <c r="L243" s="878">
        <v>4</v>
      </c>
      <c r="M243" s="880">
        <v>30933.33</v>
      </c>
      <c r="N243" s="879">
        <v>1</v>
      </c>
      <c r="O243" s="878">
        <v>6</v>
      </c>
      <c r="P243" s="880">
        <v>48000</v>
      </c>
    </row>
    <row r="244" spans="1:16" ht="15.95" customHeight="1">
      <c r="A244" s="924" t="s">
        <v>2732</v>
      </c>
      <c r="B244" s="908" t="s">
        <v>1402</v>
      </c>
      <c r="C244" s="908" t="s">
        <v>96</v>
      </c>
      <c r="D244" s="910" t="s">
        <v>1905</v>
      </c>
      <c r="E244" s="917">
        <v>8000</v>
      </c>
      <c r="F244" s="908">
        <v>44856803</v>
      </c>
      <c r="G244" s="910" t="s">
        <v>1906</v>
      </c>
      <c r="H244" s="910" t="s">
        <v>1410</v>
      </c>
      <c r="I244" s="911" t="s">
        <v>1406</v>
      </c>
      <c r="J244" s="911" t="s">
        <v>1411</v>
      </c>
      <c r="K244" s="879">
        <v>1</v>
      </c>
      <c r="L244" s="878">
        <v>8</v>
      </c>
      <c r="M244" s="880">
        <v>62766.5</v>
      </c>
      <c r="N244" s="879">
        <v>1</v>
      </c>
      <c r="O244" s="878">
        <v>6</v>
      </c>
      <c r="P244" s="880">
        <v>48000</v>
      </c>
    </row>
    <row r="245" spans="1:16" ht="24">
      <c r="A245" s="924" t="s">
        <v>2732</v>
      </c>
      <c r="B245" s="908" t="s">
        <v>1402</v>
      </c>
      <c r="C245" s="908" t="s">
        <v>96</v>
      </c>
      <c r="D245" s="910" t="s">
        <v>1554</v>
      </c>
      <c r="E245" s="917">
        <v>5000</v>
      </c>
      <c r="F245" s="908">
        <v>487137</v>
      </c>
      <c r="G245" s="910" t="s">
        <v>1907</v>
      </c>
      <c r="H245" s="910" t="s">
        <v>1477</v>
      </c>
      <c r="I245" s="911" t="s">
        <v>1480</v>
      </c>
      <c r="J245" s="911" t="s">
        <v>1407</v>
      </c>
      <c r="K245" s="879">
        <v>1</v>
      </c>
      <c r="L245" s="878">
        <v>12</v>
      </c>
      <c r="M245" s="880">
        <v>60150</v>
      </c>
      <c r="N245" s="879">
        <v>1</v>
      </c>
      <c r="O245" s="878">
        <v>6</v>
      </c>
      <c r="P245" s="880">
        <v>30000</v>
      </c>
    </row>
    <row r="246" spans="1:16" ht="15.95" customHeight="1">
      <c r="A246" s="924" t="s">
        <v>2732</v>
      </c>
      <c r="B246" s="908" t="s">
        <v>1402</v>
      </c>
      <c r="C246" s="908" t="s">
        <v>96</v>
      </c>
      <c r="D246" s="910" t="s">
        <v>1693</v>
      </c>
      <c r="E246" s="917">
        <v>15600</v>
      </c>
      <c r="F246" s="908">
        <v>8878746</v>
      </c>
      <c r="G246" s="910" t="s">
        <v>1908</v>
      </c>
      <c r="H246" s="910" t="s">
        <v>1410</v>
      </c>
      <c r="I246" s="911" t="s">
        <v>1406</v>
      </c>
      <c r="J246" s="911" t="s">
        <v>1411</v>
      </c>
      <c r="K246" s="879">
        <v>1</v>
      </c>
      <c r="L246" s="878">
        <v>12</v>
      </c>
      <c r="M246" s="880">
        <v>187800</v>
      </c>
      <c r="N246" s="879">
        <v>1</v>
      </c>
      <c r="O246" s="878">
        <v>6</v>
      </c>
      <c r="P246" s="880">
        <v>92040</v>
      </c>
    </row>
    <row r="247" spans="1:16" ht="24">
      <c r="A247" s="924" t="s">
        <v>2732</v>
      </c>
      <c r="B247" s="908" t="s">
        <v>1402</v>
      </c>
      <c r="C247" s="908" t="s">
        <v>96</v>
      </c>
      <c r="D247" s="910" t="s">
        <v>1855</v>
      </c>
      <c r="E247" s="917">
        <v>8000</v>
      </c>
      <c r="F247" s="908">
        <v>10789365</v>
      </c>
      <c r="G247" s="910" t="s">
        <v>1909</v>
      </c>
      <c r="H247" s="910" t="s">
        <v>1423</v>
      </c>
      <c r="I247" s="911" t="s">
        <v>1420</v>
      </c>
      <c r="J247" s="911" t="s">
        <v>1420</v>
      </c>
      <c r="K247" s="879">
        <v>1</v>
      </c>
      <c r="L247" s="878">
        <v>4</v>
      </c>
      <c r="M247" s="880">
        <v>30933.33</v>
      </c>
      <c r="N247" s="879">
        <v>1</v>
      </c>
      <c r="O247" s="878">
        <v>6</v>
      </c>
      <c r="P247" s="880">
        <v>48000</v>
      </c>
    </row>
    <row r="248" spans="1:16" ht="15.95" customHeight="1">
      <c r="A248" s="924" t="s">
        <v>2732</v>
      </c>
      <c r="B248" s="908" t="s">
        <v>1402</v>
      </c>
      <c r="C248" s="908" t="s">
        <v>96</v>
      </c>
      <c r="D248" s="910" t="s">
        <v>1910</v>
      </c>
      <c r="E248" s="917">
        <v>6000</v>
      </c>
      <c r="F248" s="908">
        <v>46008304</v>
      </c>
      <c r="G248" s="910" t="s">
        <v>1911</v>
      </c>
      <c r="H248" s="910" t="s">
        <v>1753</v>
      </c>
      <c r="I248" s="911" t="s">
        <v>1406</v>
      </c>
      <c r="J248" s="911" t="s">
        <v>1411</v>
      </c>
      <c r="K248" s="879">
        <v>1</v>
      </c>
      <c r="L248" s="878">
        <v>11</v>
      </c>
      <c r="M248" s="880">
        <v>66300</v>
      </c>
      <c r="N248" s="879">
        <v>0</v>
      </c>
      <c r="O248" s="878" t="s">
        <v>2731</v>
      </c>
      <c r="P248" s="880">
        <v>0</v>
      </c>
    </row>
    <row r="249" spans="1:16" ht="15.95" customHeight="1">
      <c r="A249" s="924" t="s">
        <v>2732</v>
      </c>
      <c r="B249" s="908" t="s">
        <v>1402</v>
      </c>
      <c r="C249" s="908" t="s">
        <v>96</v>
      </c>
      <c r="D249" s="910" t="s">
        <v>1912</v>
      </c>
      <c r="E249" s="917">
        <v>8000</v>
      </c>
      <c r="F249" s="908">
        <v>43830974</v>
      </c>
      <c r="G249" s="910" t="s">
        <v>1913</v>
      </c>
      <c r="H249" s="910" t="s">
        <v>1471</v>
      </c>
      <c r="I249" s="911" t="s">
        <v>1406</v>
      </c>
      <c r="J249" s="911" t="s">
        <v>1411</v>
      </c>
      <c r="K249" s="879">
        <v>1</v>
      </c>
      <c r="L249" s="878">
        <v>12</v>
      </c>
      <c r="M249" s="880">
        <v>96142.11</v>
      </c>
      <c r="N249" s="879">
        <v>1</v>
      </c>
      <c r="O249" s="878">
        <v>6</v>
      </c>
      <c r="P249" s="880">
        <v>48000</v>
      </c>
    </row>
    <row r="250" spans="1:16" ht="24">
      <c r="A250" s="924" t="s">
        <v>2732</v>
      </c>
      <c r="B250" s="908" t="s">
        <v>1402</v>
      </c>
      <c r="C250" s="908" t="s">
        <v>96</v>
      </c>
      <c r="D250" s="910" t="s">
        <v>1914</v>
      </c>
      <c r="E250" s="917">
        <v>7000</v>
      </c>
      <c r="F250" s="908">
        <v>70443710</v>
      </c>
      <c r="G250" s="910" t="s">
        <v>1915</v>
      </c>
      <c r="H250" s="910" t="s">
        <v>1410</v>
      </c>
      <c r="I250" s="911" t="s">
        <v>1480</v>
      </c>
      <c r="J250" s="911" t="s">
        <v>1420</v>
      </c>
      <c r="K250" s="879">
        <v>1</v>
      </c>
      <c r="L250" s="878">
        <v>6</v>
      </c>
      <c r="M250" s="880">
        <v>40366.67</v>
      </c>
      <c r="N250" s="879">
        <v>1</v>
      </c>
      <c r="O250" s="878">
        <v>6</v>
      </c>
      <c r="P250" s="880">
        <v>42000</v>
      </c>
    </row>
    <row r="251" spans="1:16" ht="15.95" customHeight="1">
      <c r="A251" s="924" t="s">
        <v>2732</v>
      </c>
      <c r="B251" s="908" t="s">
        <v>1402</v>
      </c>
      <c r="C251" s="908" t="s">
        <v>96</v>
      </c>
      <c r="D251" s="910" t="s">
        <v>1879</v>
      </c>
      <c r="E251" s="917">
        <v>6000</v>
      </c>
      <c r="F251" s="908">
        <v>41905162</v>
      </c>
      <c r="G251" s="910" t="s">
        <v>1916</v>
      </c>
      <c r="H251" s="910" t="s">
        <v>1474</v>
      </c>
      <c r="I251" s="911" t="s">
        <v>1420</v>
      </c>
      <c r="J251" s="911" t="s">
        <v>1420</v>
      </c>
      <c r="K251" s="879">
        <v>1</v>
      </c>
      <c r="L251" s="878">
        <v>2</v>
      </c>
      <c r="M251" s="880">
        <v>14000</v>
      </c>
      <c r="N251" s="879">
        <v>1</v>
      </c>
      <c r="O251" s="878">
        <v>6</v>
      </c>
      <c r="P251" s="880">
        <v>36000</v>
      </c>
    </row>
    <row r="252" spans="1:16" ht="15.95" customHeight="1">
      <c r="A252" s="924" t="s">
        <v>2732</v>
      </c>
      <c r="B252" s="908" t="s">
        <v>1402</v>
      </c>
      <c r="C252" s="908" t="s">
        <v>96</v>
      </c>
      <c r="D252" s="910" t="s">
        <v>1430</v>
      </c>
      <c r="E252" s="917">
        <v>3000</v>
      </c>
      <c r="F252" s="908">
        <v>10434981</v>
      </c>
      <c r="G252" s="910" t="s">
        <v>1917</v>
      </c>
      <c r="H252" s="910" t="s">
        <v>1417</v>
      </c>
      <c r="I252" s="911" t="s">
        <v>1480</v>
      </c>
      <c r="J252" s="911" t="s">
        <v>1411</v>
      </c>
      <c r="K252" s="879">
        <v>0</v>
      </c>
      <c r="L252" s="878" t="s">
        <v>2731</v>
      </c>
      <c r="M252" s="880">
        <v>0</v>
      </c>
      <c r="N252" s="879">
        <v>1</v>
      </c>
      <c r="O252" s="878">
        <v>6</v>
      </c>
      <c r="P252" s="880">
        <v>18500</v>
      </c>
    </row>
    <row r="253" spans="1:16" ht="24">
      <c r="A253" s="924" t="s">
        <v>2732</v>
      </c>
      <c r="B253" s="908" t="s">
        <v>1402</v>
      </c>
      <c r="C253" s="908" t="s">
        <v>96</v>
      </c>
      <c r="D253" s="910" t="s">
        <v>1918</v>
      </c>
      <c r="E253" s="917">
        <v>15600</v>
      </c>
      <c r="F253" s="908">
        <v>10577073</v>
      </c>
      <c r="G253" s="910" t="s">
        <v>1919</v>
      </c>
      <c r="H253" s="910" t="s">
        <v>1410</v>
      </c>
      <c r="I253" s="911" t="s">
        <v>1406</v>
      </c>
      <c r="J253" s="911" t="s">
        <v>1411</v>
      </c>
      <c r="K253" s="879">
        <v>1</v>
      </c>
      <c r="L253" s="878">
        <v>12</v>
      </c>
      <c r="M253" s="880">
        <v>187800</v>
      </c>
      <c r="N253" s="879">
        <v>1</v>
      </c>
      <c r="O253" s="878">
        <v>6</v>
      </c>
      <c r="P253" s="880">
        <v>92040</v>
      </c>
    </row>
    <row r="254" spans="1:16" ht="15.95" customHeight="1">
      <c r="A254" s="924" t="s">
        <v>2732</v>
      </c>
      <c r="B254" s="908" t="s">
        <v>1402</v>
      </c>
      <c r="C254" s="908" t="s">
        <v>96</v>
      </c>
      <c r="D254" s="910" t="s">
        <v>1920</v>
      </c>
      <c r="E254" s="917">
        <v>6500</v>
      </c>
      <c r="F254" s="908">
        <v>73046812</v>
      </c>
      <c r="G254" s="910" t="s">
        <v>1921</v>
      </c>
      <c r="H254" s="910" t="s">
        <v>1787</v>
      </c>
      <c r="I254" s="911" t="s">
        <v>1420</v>
      </c>
      <c r="J254" s="911" t="s">
        <v>1411</v>
      </c>
      <c r="K254" s="879">
        <v>1</v>
      </c>
      <c r="L254" s="878">
        <v>6</v>
      </c>
      <c r="M254" s="880">
        <v>37483.33</v>
      </c>
      <c r="N254" s="879">
        <v>1</v>
      </c>
      <c r="O254" s="878">
        <v>6</v>
      </c>
      <c r="P254" s="880">
        <v>39000</v>
      </c>
    </row>
    <row r="255" spans="1:16" ht="15.95" customHeight="1">
      <c r="A255" s="924" t="s">
        <v>2732</v>
      </c>
      <c r="B255" s="908" t="s">
        <v>1402</v>
      </c>
      <c r="C255" s="908" t="s">
        <v>96</v>
      </c>
      <c r="D255" s="910" t="s">
        <v>1675</v>
      </c>
      <c r="E255" s="917">
        <v>15600</v>
      </c>
      <c r="F255" s="908">
        <v>8249212</v>
      </c>
      <c r="G255" s="910" t="s">
        <v>1922</v>
      </c>
      <c r="H255" s="910" t="s">
        <v>1923</v>
      </c>
      <c r="I255" s="911" t="s">
        <v>1406</v>
      </c>
      <c r="J255" s="911" t="s">
        <v>1411</v>
      </c>
      <c r="K255" s="879">
        <v>1</v>
      </c>
      <c r="L255" s="878">
        <v>1</v>
      </c>
      <c r="M255" s="880">
        <v>15600</v>
      </c>
      <c r="N255" s="879">
        <v>0</v>
      </c>
      <c r="O255" s="878" t="s">
        <v>2731</v>
      </c>
      <c r="P255" s="880">
        <v>0</v>
      </c>
    </row>
    <row r="256" spans="1:16" ht="15.95" customHeight="1">
      <c r="A256" s="924" t="s">
        <v>2732</v>
      </c>
      <c r="B256" s="908" t="s">
        <v>1402</v>
      </c>
      <c r="C256" s="908" t="s">
        <v>96</v>
      </c>
      <c r="D256" s="910" t="s">
        <v>1924</v>
      </c>
      <c r="E256" s="917">
        <v>4000</v>
      </c>
      <c r="F256" s="908">
        <v>47067541</v>
      </c>
      <c r="G256" s="910" t="s">
        <v>1925</v>
      </c>
      <c r="H256" s="910" t="s">
        <v>1926</v>
      </c>
      <c r="I256" s="911" t="s">
        <v>1420</v>
      </c>
      <c r="J256" s="911" t="s">
        <v>1411</v>
      </c>
      <c r="K256" s="879">
        <v>1</v>
      </c>
      <c r="L256" s="878">
        <v>12</v>
      </c>
      <c r="M256" s="880">
        <v>48300</v>
      </c>
      <c r="N256" s="879">
        <v>1</v>
      </c>
      <c r="O256" s="878">
        <v>6</v>
      </c>
      <c r="P256" s="880">
        <v>24000</v>
      </c>
    </row>
    <row r="257" spans="1:16" ht="24">
      <c r="A257" s="924" t="s">
        <v>2732</v>
      </c>
      <c r="B257" s="908" t="s">
        <v>1402</v>
      </c>
      <c r="C257" s="908" t="s">
        <v>96</v>
      </c>
      <c r="D257" s="910" t="s">
        <v>1927</v>
      </c>
      <c r="E257" s="917">
        <v>6000</v>
      </c>
      <c r="F257" s="908">
        <v>8681131</v>
      </c>
      <c r="G257" s="910" t="s">
        <v>1928</v>
      </c>
      <c r="H257" s="910" t="s">
        <v>1776</v>
      </c>
      <c r="I257" s="911" t="s">
        <v>1406</v>
      </c>
      <c r="J257" s="911" t="s">
        <v>1420</v>
      </c>
      <c r="K257" s="879">
        <v>1</v>
      </c>
      <c r="L257" s="878">
        <v>6</v>
      </c>
      <c r="M257" s="880">
        <v>34600</v>
      </c>
      <c r="N257" s="879">
        <v>1</v>
      </c>
      <c r="O257" s="878">
        <v>6</v>
      </c>
      <c r="P257" s="880">
        <v>36000</v>
      </c>
    </row>
    <row r="258" spans="1:16" ht="24">
      <c r="A258" s="924" t="s">
        <v>2732</v>
      </c>
      <c r="B258" s="908" t="s">
        <v>1402</v>
      </c>
      <c r="C258" s="908" t="s">
        <v>96</v>
      </c>
      <c r="D258" s="910" t="s">
        <v>1929</v>
      </c>
      <c r="E258" s="917">
        <v>6000</v>
      </c>
      <c r="F258" s="908">
        <v>6633268</v>
      </c>
      <c r="G258" s="910" t="s">
        <v>1930</v>
      </c>
      <c r="H258" s="910" t="s">
        <v>1565</v>
      </c>
      <c r="I258" s="911" t="s">
        <v>1420</v>
      </c>
      <c r="J258" s="911" t="s">
        <v>1411</v>
      </c>
      <c r="K258" s="879">
        <v>1</v>
      </c>
      <c r="L258" s="878">
        <v>12</v>
      </c>
      <c r="M258" s="880">
        <v>72300</v>
      </c>
      <c r="N258" s="879">
        <v>1</v>
      </c>
      <c r="O258" s="878">
        <v>6</v>
      </c>
      <c r="P258" s="880">
        <v>35069</v>
      </c>
    </row>
    <row r="259" spans="1:16" ht="15.95" customHeight="1">
      <c r="A259" s="924" t="s">
        <v>2732</v>
      </c>
      <c r="B259" s="908" t="s">
        <v>1402</v>
      </c>
      <c r="C259" s="908" t="s">
        <v>96</v>
      </c>
      <c r="D259" s="910" t="s">
        <v>1931</v>
      </c>
      <c r="E259" s="917">
        <v>11500</v>
      </c>
      <c r="F259" s="908">
        <v>25705424</v>
      </c>
      <c r="G259" s="910" t="s">
        <v>1932</v>
      </c>
      <c r="H259" s="910" t="s">
        <v>1565</v>
      </c>
      <c r="I259" s="911" t="s">
        <v>1480</v>
      </c>
      <c r="J259" s="911" t="s">
        <v>1420</v>
      </c>
      <c r="K259" s="879">
        <v>0</v>
      </c>
      <c r="L259" s="878" t="s">
        <v>2731</v>
      </c>
      <c r="M259" s="880">
        <v>0</v>
      </c>
      <c r="N259" s="879">
        <v>1</v>
      </c>
      <c r="O259" s="878">
        <v>6</v>
      </c>
      <c r="P259" s="880">
        <v>70884.06</v>
      </c>
    </row>
    <row r="260" spans="1:16" ht="15.95" customHeight="1">
      <c r="A260" s="924" t="s">
        <v>2732</v>
      </c>
      <c r="B260" s="908" t="s">
        <v>1402</v>
      </c>
      <c r="C260" s="908" t="s">
        <v>96</v>
      </c>
      <c r="D260" s="910" t="s">
        <v>1933</v>
      </c>
      <c r="E260" s="917">
        <v>8000</v>
      </c>
      <c r="F260" s="908">
        <v>44656864</v>
      </c>
      <c r="G260" s="910" t="s">
        <v>1934</v>
      </c>
      <c r="H260" s="910" t="s">
        <v>1935</v>
      </c>
      <c r="I260" s="911" t="s">
        <v>1406</v>
      </c>
      <c r="J260" s="911" t="s">
        <v>1420</v>
      </c>
      <c r="K260" s="879">
        <v>1</v>
      </c>
      <c r="L260" s="878">
        <v>2</v>
      </c>
      <c r="M260" s="880">
        <v>12533.33</v>
      </c>
      <c r="N260" s="879">
        <v>1</v>
      </c>
      <c r="O260" s="878">
        <v>6</v>
      </c>
      <c r="P260" s="880">
        <v>47733.33</v>
      </c>
    </row>
    <row r="261" spans="1:16" ht="24">
      <c r="A261" s="924" t="s">
        <v>2732</v>
      </c>
      <c r="B261" s="908" t="s">
        <v>1402</v>
      </c>
      <c r="C261" s="908" t="s">
        <v>96</v>
      </c>
      <c r="D261" s="910" t="s">
        <v>1936</v>
      </c>
      <c r="E261" s="917">
        <v>8000</v>
      </c>
      <c r="F261" s="908">
        <v>23926304</v>
      </c>
      <c r="G261" s="910" t="s">
        <v>1937</v>
      </c>
      <c r="H261" s="910" t="s">
        <v>1471</v>
      </c>
      <c r="I261" s="911" t="s">
        <v>1406</v>
      </c>
      <c r="J261" s="911" t="s">
        <v>1411</v>
      </c>
      <c r="K261" s="879">
        <v>1</v>
      </c>
      <c r="L261" s="878">
        <v>12</v>
      </c>
      <c r="M261" s="880">
        <v>96033.33</v>
      </c>
      <c r="N261" s="879">
        <v>1</v>
      </c>
      <c r="O261" s="878">
        <v>6</v>
      </c>
      <c r="P261" s="880">
        <v>47365.56</v>
      </c>
    </row>
    <row r="262" spans="1:16" ht="15.95" customHeight="1">
      <c r="A262" s="924" t="s">
        <v>2732</v>
      </c>
      <c r="B262" s="908" t="s">
        <v>1402</v>
      </c>
      <c r="C262" s="908" t="s">
        <v>96</v>
      </c>
      <c r="D262" s="910" t="s">
        <v>1938</v>
      </c>
      <c r="E262" s="917">
        <v>15600</v>
      </c>
      <c r="F262" s="908">
        <v>44428740</v>
      </c>
      <c r="G262" s="910" t="s">
        <v>1939</v>
      </c>
      <c r="H262" s="910" t="s">
        <v>1410</v>
      </c>
      <c r="I262" s="911" t="s">
        <v>1406</v>
      </c>
      <c r="J262" s="911" t="s">
        <v>1411</v>
      </c>
      <c r="K262" s="879">
        <v>1</v>
      </c>
      <c r="L262" s="878">
        <v>10</v>
      </c>
      <c r="M262" s="880">
        <v>161500</v>
      </c>
      <c r="N262" s="879">
        <v>0</v>
      </c>
      <c r="O262" s="878" t="s">
        <v>2731</v>
      </c>
      <c r="P262" s="880">
        <v>0</v>
      </c>
    </row>
    <row r="263" spans="1:16" ht="15.95" customHeight="1">
      <c r="A263" s="924" t="s">
        <v>2732</v>
      </c>
      <c r="B263" s="908" t="s">
        <v>1402</v>
      </c>
      <c r="C263" s="908" t="s">
        <v>96</v>
      </c>
      <c r="D263" s="910" t="s">
        <v>1940</v>
      </c>
      <c r="E263" s="917">
        <v>8000</v>
      </c>
      <c r="F263" s="908">
        <v>9993317</v>
      </c>
      <c r="G263" s="910" t="s">
        <v>1941</v>
      </c>
      <c r="H263" s="910" t="s">
        <v>1414</v>
      </c>
      <c r="I263" s="911" t="s">
        <v>1420</v>
      </c>
      <c r="J263" s="911" t="s">
        <v>1411</v>
      </c>
      <c r="K263" s="879">
        <v>1</v>
      </c>
      <c r="L263" s="878">
        <v>12</v>
      </c>
      <c r="M263" s="880">
        <v>86090.559999999998</v>
      </c>
      <c r="N263" s="879">
        <v>1</v>
      </c>
      <c r="O263" s="878">
        <v>6</v>
      </c>
      <c r="P263" s="880">
        <v>48000</v>
      </c>
    </row>
    <row r="264" spans="1:16" ht="15.95" customHeight="1">
      <c r="A264" s="924" t="s">
        <v>2732</v>
      </c>
      <c r="B264" s="908" t="s">
        <v>1402</v>
      </c>
      <c r="C264" s="908" t="s">
        <v>96</v>
      </c>
      <c r="D264" s="910" t="s">
        <v>1693</v>
      </c>
      <c r="E264" s="917">
        <v>15600</v>
      </c>
      <c r="F264" s="908">
        <v>8429880</v>
      </c>
      <c r="G264" s="910" t="s">
        <v>1942</v>
      </c>
      <c r="H264" s="910" t="s">
        <v>1943</v>
      </c>
      <c r="I264" s="911" t="s">
        <v>1406</v>
      </c>
      <c r="J264" s="911" t="s">
        <v>1411</v>
      </c>
      <c r="K264" s="879">
        <v>1</v>
      </c>
      <c r="L264" s="878">
        <v>3</v>
      </c>
      <c r="M264" s="880">
        <v>40560</v>
      </c>
      <c r="N264" s="879">
        <v>0</v>
      </c>
      <c r="O264" s="878" t="s">
        <v>2731</v>
      </c>
      <c r="P264" s="880">
        <v>0</v>
      </c>
    </row>
    <row r="265" spans="1:16" ht="15.95" customHeight="1">
      <c r="A265" s="924" t="s">
        <v>2732</v>
      </c>
      <c r="B265" s="908" t="s">
        <v>1402</v>
      </c>
      <c r="C265" s="908" t="s">
        <v>96</v>
      </c>
      <c r="D265" s="910" t="s">
        <v>1944</v>
      </c>
      <c r="E265" s="917">
        <v>12000</v>
      </c>
      <c r="F265" s="908">
        <v>7526619</v>
      </c>
      <c r="G265" s="910" t="s">
        <v>1945</v>
      </c>
      <c r="H265" s="910" t="s">
        <v>1804</v>
      </c>
      <c r="I265" s="911" t="s">
        <v>1406</v>
      </c>
      <c r="J265" s="911" t="s">
        <v>1420</v>
      </c>
      <c r="K265" s="879">
        <v>0</v>
      </c>
      <c r="L265" s="878" t="s">
        <v>2731</v>
      </c>
      <c r="M265" s="880">
        <v>0</v>
      </c>
      <c r="N265" s="879">
        <v>1</v>
      </c>
      <c r="O265" s="878">
        <v>5</v>
      </c>
      <c r="P265" s="880">
        <v>60000</v>
      </c>
    </row>
    <row r="266" spans="1:16" ht="15.95" customHeight="1">
      <c r="A266" s="924" t="s">
        <v>2732</v>
      </c>
      <c r="B266" s="908" t="s">
        <v>1402</v>
      </c>
      <c r="C266" s="908" t="s">
        <v>96</v>
      </c>
      <c r="D266" s="910" t="s">
        <v>1946</v>
      </c>
      <c r="E266" s="917">
        <v>10500</v>
      </c>
      <c r="F266" s="908">
        <v>41556075</v>
      </c>
      <c r="G266" s="910" t="s">
        <v>1947</v>
      </c>
      <c r="H266" s="910" t="s">
        <v>1869</v>
      </c>
      <c r="I266" s="911" t="s">
        <v>1406</v>
      </c>
      <c r="J266" s="911" t="s">
        <v>1411</v>
      </c>
      <c r="K266" s="879">
        <v>1</v>
      </c>
      <c r="L266" s="878">
        <v>10</v>
      </c>
      <c r="M266" s="880">
        <v>109500</v>
      </c>
      <c r="N266" s="879">
        <v>1</v>
      </c>
      <c r="O266" s="878">
        <v>6</v>
      </c>
      <c r="P266" s="880">
        <v>62556.25</v>
      </c>
    </row>
    <row r="267" spans="1:16" ht="15.95" customHeight="1">
      <c r="A267" s="924" t="s">
        <v>2732</v>
      </c>
      <c r="B267" s="908" t="s">
        <v>1402</v>
      </c>
      <c r="C267" s="908" t="s">
        <v>96</v>
      </c>
      <c r="D267" s="910" t="s">
        <v>1948</v>
      </c>
      <c r="E267" s="917">
        <v>15000</v>
      </c>
      <c r="F267" s="908">
        <v>15682513</v>
      </c>
      <c r="G267" s="910" t="s">
        <v>1949</v>
      </c>
      <c r="H267" s="910" t="s">
        <v>1410</v>
      </c>
      <c r="I267" s="911" t="s">
        <v>1406</v>
      </c>
      <c r="J267" s="911" t="s">
        <v>1411</v>
      </c>
      <c r="K267" s="879">
        <v>1</v>
      </c>
      <c r="L267" s="878">
        <v>3</v>
      </c>
      <c r="M267" s="880">
        <v>37000</v>
      </c>
      <c r="N267" s="879">
        <v>0</v>
      </c>
      <c r="O267" s="878" t="s">
        <v>2731</v>
      </c>
      <c r="P267" s="880">
        <v>0</v>
      </c>
    </row>
    <row r="268" spans="1:16" ht="15.95" customHeight="1">
      <c r="A268" s="924" t="s">
        <v>2732</v>
      </c>
      <c r="B268" s="908" t="s">
        <v>1402</v>
      </c>
      <c r="C268" s="908" t="s">
        <v>96</v>
      </c>
      <c r="D268" s="910" t="s">
        <v>1879</v>
      </c>
      <c r="E268" s="917">
        <v>6000</v>
      </c>
      <c r="F268" s="908">
        <v>10145549</v>
      </c>
      <c r="G268" s="910" t="s">
        <v>1950</v>
      </c>
      <c r="H268" s="910" t="s">
        <v>1455</v>
      </c>
      <c r="I268" s="911" t="s">
        <v>1420</v>
      </c>
      <c r="J268" s="911" t="s">
        <v>1420</v>
      </c>
      <c r="K268" s="879">
        <v>1</v>
      </c>
      <c r="L268" s="878">
        <v>2</v>
      </c>
      <c r="M268" s="880">
        <v>14000</v>
      </c>
      <c r="N268" s="879">
        <v>1</v>
      </c>
      <c r="O268" s="878">
        <v>6</v>
      </c>
      <c r="P268" s="880">
        <v>36000</v>
      </c>
    </row>
    <row r="269" spans="1:16" ht="15.95" customHeight="1">
      <c r="A269" s="924" t="s">
        <v>2732</v>
      </c>
      <c r="B269" s="908" t="s">
        <v>1402</v>
      </c>
      <c r="C269" s="908" t="s">
        <v>96</v>
      </c>
      <c r="D269" s="910" t="s">
        <v>1951</v>
      </c>
      <c r="E269" s="917">
        <v>7000</v>
      </c>
      <c r="F269" s="908">
        <v>44529033</v>
      </c>
      <c r="G269" s="910" t="s">
        <v>1952</v>
      </c>
      <c r="H269" s="910" t="s">
        <v>1461</v>
      </c>
      <c r="I269" s="911" t="s">
        <v>1420</v>
      </c>
      <c r="J269" s="911" t="s">
        <v>1411</v>
      </c>
      <c r="K269" s="879">
        <v>1</v>
      </c>
      <c r="L269" s="878">
        <v>2</v>
      </c>
      <c r="M269" s="880">
        <v>10966.67</v>
      </c>
      <c r="N269" s="879">
        <v>1</v>
      </c>
      <c r="O269" s="878">
        <v>6</v>
      </c>
      <c r="P269" s="880">
        <v>42000</v>
      </c>
    </row>
    <row r="270" spans="1:16" ht="15.95" customHeight="1">
      <c r="A270" s="924" t="s">
        <v>2732</v>
      </c>
      <c r="B270" s="908" t="s">
        <v>1402</v>
      </c>
      <c r="C270" s="908" t="s">
        <v>96</v>
      </c>
      <c r="D270" s="910" t="s">
        <v>1953</v>
      </c>
      <c r="E270" s="917">
        <v>15600</v>
      </c>
      <c r="F270" s="908">
        <v>40577050</v>
      </c>
      <c r="G270" s="910" t="s">
        <v>1954</v>
      </c>
      <c r="H270" s="910" t="s">
        <v>1955</v>
      </c>
      <c r="I270" s="911" t="s">
        <v>1420</v>
      </c>
      <c r="J270" s="911" t="s">
        <v>1956</v>
      </c>
      <c r="K270" s="879">
        <v>1</v>
      </c>
      <c r="L270" s="878">
        <v>1</v>
      </c>
      <c r="M270" s="880">
        <v>8840</v>
      </c>
      <c r="N270" s="879">
        <v>1</v>
      </c>
      <c r="O270" s="878">
        <v>3</v>
      </c>
      <c r="P270" s="880">
        <v>32822.400000000001</v>
      </c>
    </row>
    <row r="271" spans="1:16" ht="15.95" customHeight="1">
      <c r="A271" s="924" t="s">
        <v>2732</v>
      </c>
      <c r="B271" s="908" t="s">
        <v>1402</v>
      </c>
      <c r="C271" s="908" t="s">
        <v>96</v>
      </c>
      <c r="D271" s="910" t="s">
        <v>1957</v>
      </c>
      <c r="E271" s="917">
        <v>12000</v>
      </c>
      <c r="F271" s="908">
        <v>42449502</v>
      </c>
      <c r="G271" s="910" t="s">
        <v>1958</v>
      </c>
      <c r="H271" s="910" t="s">
        <v>1410</v>
      </c>
      <c r="I271" s="911" t="s">
        <v>1406</v>
      </c>
      <c r="J271" s="911" t="s">
        <v>1411</v>
      </c>
      <c r="K271" s="879">
        <v>1</v>
      </c>
      <c r="L271" s="878">
        <v>3</v>
      </c>
      <c r="M271" s="880">
        <v>36000</v>
      </c>
      <c r="N271" s="879">
        <v>0</v>
      </c>
      <c r="O271" s="878" t="s">
        <v>2731</v>
      </c>
      <c r="P271" s="880">
        <v>0</v>
      </c>
    </row>
    <row r="272" spans="1:16" ht="15.95" customHeight="1">
      <c r="A272" s="924" t="s">
        <v>2732</v>
      </c>
      <c r="B272" s="908" t="s">
        <v>1402</v>
      </c>
      <c r="C272" s="908" t="s">
        <v>96</v>
      </c>
      <c r="D272" s="910" t="s">
        <v>1857</v>
      </c>
      <c r="E272" s="917">
        <v>7500</v>
      </c>
      <c r="F272" s="908">
        <v>6193977</v>
      </c>
      <c r="G272" s="910" t="s">
        <v>1959</v>
      </c>
      <c r="H272" s="910" t="s">
        <v>1414</v>
      </c>
      <c r="I272" s="911" t="s">
        <v>1406</v>
      </c>
      <c r="J272" s="911" t="s">
        <v>1411</v>
      </c>
      <c r="K272" s="879">
        <v>1</v>
      </c>
      <c r="L272" s="878">
        <v>12</v>
      </c>
      <c r="M272" s="880">
        <v>90300</v>
      </c>
      <c r="N272" s="879">
        <v>1</v>
      </c>
      <c r="O272" s="878">
        <v>6</v>
      </c>
      <c r="P272" s="880">
        <v>45000</v>
      </c>
    </row>
    <row r="273" spans="1:16" ht="15.95" customHeight="1">
      <c r="A273" s="924" t="s">
        <v>2732</v>
      </c>
      <c r="B273" s="908" t="s">
        <v>1402</v>
      </c>
      <c r="C273" s="908" t="s">
        <v>96</v>
      </c>
      <c r="D273" s="910" t="s">
        <v>1960</v>
      </c>
      <c r="E273" s="917">
        <v>6500</v>
      </c>
      <c r="F273" s="908">
        <v>43837885</v>
      </c>
      <c r="G273" s="910" t="s">
        <v>1961</v>
      </c>
      <c r="H273" s="910" t="s">
        <v>1477</v>
      </c>
      <c r="I273" s="911" t="s">
        <v>1480</v>
      </c>
      <c r="J273" s="911" t="s">
        <v>1532</v>
      </c>
      <c r="K273" s="879">
        <v>1</v>
      </c>
      <c r="L273" s="878">
        <v>12</v>
      </c>
      <c r="M273" s="880">
        <v>74142</v>
      </c>
      <c r="N273" s="879">
        <v>1</v>
      </c>
      <c r="O273" s="878">
        <v>6</v>
      </c>
      <c r="P273" s="880">
        <v>39000</v>
      </c>
    </row>
    <row r="274" spans="1:16" ht="24">
      <c r="A274" s="924" t="s">
        <v>2732</v>
      </c>
      <c r="B274" s="908" t="s">
        <v>1402</v>
      </c>
      <c r="C274" s="908" t="s">
        <v>96</v>
      </c>
      <c r="D274" s="910" t="s">
        <v>1962</v>
      </c>
      <c r="E274" s="917">
        <v>12000</v>
      </c>
      <c r="F274" s="908">
        <v>42815706</v>
      </c>
      <c r="G274" s="910" t="s">
        <v>1963</v>
      </c>
      <c r="H274" s="910" t="s">
        <v>1410</v>
      </c>
      <c r="I274" s="911" t="s">
        <v>1420</v>
      </c>
      <c r="J274" s="911" t="s">
        <v>1411</v>
      </c>
      <c r="K274" s="879">
        <v>1</v>
      </c>
      <c r="L274" s="878">
        <v>12</v>
      </c>
      <c r="M274" s="880">
        <v>138200</v>
      </c>
      <c r="N274" s="879">
        <v>1</v>
      </c>
      <c r="O274" s="878">
        <v>6</v>
      </c>
      <c r="P274" s="880">
        <v>72000</v>
      </c>
    </row>
    <row r="275" spans="1:16" ht="24">
      <c r="A275" s="924" t="s">
        <v>2732</v>
      </c>
      <c r="B275" s="908" t="s">
        <v>1402</v>
      </c>
      <c r="C275" s="908" t="s">
        <v>96</v>
      </c>
      <c r="D275" s="910" t="s">
        <v>1964</v>
      </c>
      <c r="E275" s="917">
        <v>8000</v>
      </c>
      <c r="F275" s="908">
        <v>9852831</v>
      </c>
      <c r="G275" s="910" t="s">
        <v>1965</v>
      </c>
      <c r="H275" s="910" t="s">
        <v>1471</v>
      </c>
      <c r="I275" s="911" t="s">
        <v>1420</v>
      </c>
      <c r="J275" s="911" t="s">
        <v>1411</v>
      </c>
      <c r="K275" s="879">
        <v>1</v>
      </c>
      <c r="L275" s="878">
        <v>12</v>
      </c>
      <c r="M275" s="880">
        <v>96300</v>
      </c>
      <c r="N275" s="879">
        <v>1</v>
      </c>
      <c r="O275" s="878">
        <v>6</v>
      </c>
      <c r="P275" s="880">
        <v>48000</v>
      </c>
    </row>
    <row r="276" spans="1:16" ht="15.95" customHeight="1">
      <c r="A276" s="924" t="s">
        <v>2732</v>
      </c>
      <c r="B276" s="908" t="s">
        <v>1402</v>
      </c>
      <c r="C276" s="908" t="s">
        <v>96</v>
      </c>
      <c r="D276" s="910" t="s">
        <v>1650</v>
      </c>
      <c r="E276" s="917">
        <v>15600</v>
      </c>
      <c r="F276" s="908">
        <v>10238986</v>
      </c>
      <c r="G276" s="910" t="s">
        <v>1966</v>
      </c>
      <c r="H276" s="910" t="s">
        <v>1488</v>
      </c>
      <c r="I276" s="911" t="s">
        <v>1406</v>
      </c>
      <c r="J276" s="911" t="s">
        <v>1411</v>
      </c>
      <c r="K276" s="879">
        <v>1</v>
      </c>
      <c r="L276" s="878">
        <v>2</v>
      </c>
      <c r="M276" s="880">
        <v>18200</v>
      </c>
      <c r="N276" s="879">
        <v>0</v>
      </c>
      <c r="O276" s="878" t="s">
        <v>2731</v>
      </c>
      <c r="P276" s="880">
        <v>0</v>
      </c>
    </row>
    <row r="277" spans="1:16" ht="24">
      <c r="A277" s="924" t="s">
        <v>2732</v>
      </c>
      <c r="B277" s="908" t="s">
        <v>1402</v>
      </c>
      <c r="C277" s="908" t="s">
        <v>96</v>
      </c>
      <c r="D277" s="910" t="s">
        <v>1967</v>
      </c>
      <c r="E277" s="917">
        <v>10000</v>
      </c>
      <c r="F277" s="908">
        <v>10868835</v>
      </c>
      <c r="G277" s="910" t="s">
        <v>1968</v>
      </c>
      <c r="H277" s="910" t="s">
        <v>1943</v>
      </c>
      <c r="I277" s="911" t="s">
        <v>1406</v>
      </c>
      <c r="J277" s="911" t="s">
        <v>1411</v>
      </c>
      <c r="K277" s="879">
        <v>1</v>
      </c>
      <c r="L277" s="878">
        <v>12</v>
      </c>
      <c r="M277" s="880">
        <v>106508.88</v>
      </c>
      <c r="N277" s="879">
        <v>1</v>
      </c>
      <c r="O277" s="878">
        <v>6</v>
      </c>
      <c r="P277" s="880">
        <v>59666.67</v>
      </c>
    </row>
    <row r="278" spans="1:16" ht="24">
      <c r="A278" s="924" t="s">
        <v>2732</v>
      </c>
      <c r="B278" s="908" t="s">
        <v>1402</v>
      </c>
      <c r="C278" s="908" t="s">
        <v>96</v>
      </c>
      <c r="D278" s="910" t="s">
        <v>1969</v>
      </c>
      <c r="E278" s="917">
        <v>6000</v>
      </c>
      <c r="F278" s="908">
        <v>45800172</v>
      </c>
      <c r="G278" s="910" t="s">
        <v>1970</v>
      </c>
      <c r="H278" s="910" t="s">
        <v>1971</v>
      </c>
      <c r="I278" s="911" t="s">
        <v>1406</v>
      </c>
      <c r="J278" s="911" t="s">
        <v>1411</v>
      </c>
      <c r="K278" s="879">
        <v>1</v>
      </c>
      <c r="L278" s="878">
        <v>5</v>
      </c>
      <c r="M278" s="880">
        <v>30000</v>
      </c>
      <c r="N278" s="879">
        <v>0</v>
      </c>
      <c r="O278" s="878" t="s">
        <v>2731</v>
      </c>
      <c r="P278" s="880">
        <v>0</v>
      </c>
    </row>
    <row r="279" spans="1:16" ht="15.95" customHeight="1">
      <c r="A279" s="924" t="s">
        <v>2732</v>
      </c>
      <c r="B279" s="908" t="s">
        <v>1402</v>
      </c>
      <c r="C279" s="908" t="s">
        <v>96</v>
      </c>
      <c r="D279" s="910" t="s">
        <v>1972</v>
      </c>
      <c r="E279" s="917">
        <v>14500</v>
      </c>
      <c r="F279" s="908">
        <v>9867512</v>
      </c>
      <c r="G279" s="910" t="s">
        <v>1973</v>
      </c>
      <c r="H279" s="910" t="s">
        <v>1974</v>
      </c>
      <c r="I279" s="911" t="s">
        <v>1406</v>
      </c>
      <c r="J279" s="911" t="s">
        <v>1411</v>
      </c>
      <c r="K279" s="879">
        <v>1</v>
      </c>
      <c r="L279" s="878">
        <v>12</v>
      </c>
      <c r="M279" s="880">
        <v>153696.10999999999</v>
      </c>
      <c r="N279" s="879">
        <v>1</v>
      </c>
      <c r="O279" s="878">
        <v>6</v>
      </c>
      <c r="P279" s="880">
        <v>87000</v>
      </c>
    </row>
    <row r="280" spans="1:16" ht="24">
      <c r="A280" s="924" t="s">
        <v>2732</v>
      </c>
      <c r="B280" s="908" t="s">
        <v>1402</v>
      </c>
      <c r="C280" s="908" t="s">
        <v>96</v>
      </c>
      <c r="D280" s="910" t="s">
        <v>1731</v>
      </c>
      <c r="E280" s="917">
        <v>7000</v>
      </c>
      <c r="F280" s="908">
        <v>10645636</v>
      </c>
      <c r="G280" s="910" t="s">
        <v>1975</v>
      </c>
      <c r="H280" s="910" t="s">
        <v>1483</v>
      </c>
      <c r="I280" s="911" t="s">
        <v>1406</v>
      </c>
      <c r="J280" s="911" t="s">
        <v>1411</v>
      </c>
      <c r="K280" s="879">
        <v>1</v>
      </c>
      <c r="L280" s="878">
        <v>12</v>
      </c>
      <c r="M280" s="880">
        <v>84300</v>
      </c>
      <c r="N280" s="879">
        <v>1</v>
      </c>
      <c r="O280" s="878">
        <v>6</v>
      </c>
      <c r="P280" s="880">
        <v>42000</v>
      </c>
    </row>
    <row r="281" spans="1:16" ht="15.95" customHeight="1">
      <c r="A281" s="924" t="s">
        <v>2732</v>
      </c>
      <c r="B281" s="908" t="s">
        <v>1402</v>
      </c>
      <c r="C281" s="908" t="s">
        <v>96</v>
      </c>
      <c r="D281" s="910" t="s">
        <v>1976</v>
      </c>
      <c r="E281" s="917">
        <v>4500</v>
      </c>
      <c r="F281" s="908">
        <v>7833116</v>
      </c>
      <c r="G281" s="910" t="s">
        <v>1977</v>
      </c>
      <c r="H281" s="910" t="s">
        <v>1978</v>
      </c>
      <c r="I281" s="911" t="s">
        <v>1406</v>
      </c>
      <c r="J281" s="911" t="s">
        <v>1411</v>
      </c>
      <c r="K281" s="879">
        <v>1</v>
      </c>
      <c r="L281" s="878">
        <v>1</v>
      </c>
      <c r="M281" s="880">
        <v>4500</v>
      </c>
      <c r="N281" s="879">
        <v>0</v>
      </c>
      <c r="O281" s="878" t="s">
        <v>2731</v>
      </c>
      <c r="P281" s="880">
        <v>0</v>
      </c>
    </row>
    <row r="282" spans="1:16" ht="15.95" customHeight="1">
      <c r="A282" s="924" t="s">
        <v>2732</v>
      </c>
      <c r="B282" s="908" t="s">
        <v>1402</v>
      </c>
      <c r="C282" s="908" t="s">
        <v>96</v>
      </c>
      <c r="D282" s="910" t="s">
        <v>1979</v>
      </c>
      <c r="E282" s="917">
        <v>7000</v>
      </c>
      <c r="F282" s="908">
        <v>33264844</v>
      </c>
      <c r="G282" s="910" t="s">
        <v>1980</v>
      </c>
      <c r="H282" s="910" t="s">
        <v>1682</v>
      </c>
      <c r="I282" s="911" t="s">
        <v>1406</v>
      </c>
      <c r="J282" s="911" t="s">
        <v>1411</v>
      </c>
      <c r="K282" s="879">
        <v>1</v>
      </c>
      <c r="L282" s="878">
        <v>12</v>
      </c>
      <c r="M282" s="880">
        <v>84300</v>
      </c>
      <c r="N282" s="879">
        <v>1</v>
      </c>
      <c r="O282" s="878">
        <v>6</v>
      </c>
      <c r="P282" s="880">
        <v>42000</v>
      </c>
    </row>
    <row r="283" spans="1:16" ht="15.95" customHeight="1">
      <c r="A283" s="924" t="s">
        <v>2732</v>
      </c>
      <c r="B283" s="908" t="s">
        <v>1402</v>
      </c>
      <c r="C283" s="908" t="s">
        <v>96</v>
      </c>
      <c r="D283" s="910" t="s">
        <v>1981</v>
      </c>
      <c r="E283" s="917">
        <v>4500</v>
      </c>
      <c r="F283" s="908">
        <v>6221428</v>
      </c>
      <c r="G283" s="910" t="s">
        <v>1982</v>
      </c>
      <c r="H283" s="910" t="s">
        <v>1983</v>
      </c>
      <c r="I283" s="911" t="s">
        <v>1424</v>
      </c>
      <c r="J283" s="911" t="s">
        <v>1411</v>
      </c>
      <c r="K283" s="879">
        <v>1</v>
      </c>
      <c r="L283" s="878">
        <v>12</v>
      </c>
      <c r="M283" s="880">
        <v>54081.32</v>
      </c>
      <c r="N283" s="879">
        <v>1</v>
      </c>
      <c r="O283" s="878">
        <v>6</v>
      </c>
      <c r="P283" s="880">
        <v>26850</v>
      </c>
    </row>
    <row r="284" spans="1:16" ht="24">
      <c r="A284" s="924" t="s">
        <v>2732</v>
      </c>
      <c r="B284" s="908" t="s">
        <v>1402</v>
      </c>
      <c r="C284" s="908" t="s">
        <v>96</v>
      </c>
      <c r="D284" s="910" t="s">
        <v>1984</v>
      </c>
      <c r="E284" s="917">
        <v>9000</v>
      </c>
      <c r="F284" s="908">
        <v>44538979</v>
      </c>
      <c r="G284" s="910" t="s">
        <v>1985</v>
      </c>
      <c r="H284" s="910" t="s">
        <v>1410</v>
      </c>
      <c r="I284" s="911" t="s">
        <v>1406</v>
      </c>
      <c r="J284" s="911" t="s">
        <v>1411</v>
      </c>
      <c r="K284" s="879">
        <v>1</v>
      </c>
      <c r="L284" s="878">
        <v>6</v>
      </c>
      <c r="M284" s="880">
        <v>51900</v>
      </c>
      <c r="N284" s="879">
        <v>1</v>
      </c>
      <c r="O284" s="878">
        <v>6</v>
      </c>
      <c r="P284" s="880">
        <v>53821.87</v>
      </c>
    </row>
    <row r="285" spans="1:16" ht="24">
      <c r="A285" s="924" t="s">
        <v>2732</v>
      </c>
      <c r="B285" s="908" t="s">
        <v>1402</v>
      </c>
      <c r="C285" s="908" t="s">
        <v>96</v>
      </c>
      <c r="D285" s="910" t="s">
        <v>1855</v>
      </c>
      <c r="E285" s="917">
        <v>8000</v>
      </c>
      <c r="F285" s="908">
        <v>9804568</v>
      </c>
      <c r="G285" s="910" t="s">
        <v>1986</v>
      </c>
      <c r="H285" s="910" t="s">
        <v>1468</v>
      </c>
      <c r="I285" s="911" t="s">
        <v>1406</v>
      </c>
      <c r="J285" s="911" t="s">
        <v>1420</v>
      </c>
      <c r="K285" s="879">
        <v>1</v>
      </c>
      <c r="L285" s="878">
        <v>6</v>
      </c>
      <c r="M285" s="880">
        <v>46133.33</v>
      </c>
      <c r="N285" s="879">
        <v>1</v>
      </c>
      <c r="O285" s="878">
        <v>6</v>
      </c>
      <c r="P285" s="880">
        <v>48000</v>
      </c>
    </row>
    <row r="286" spans="1:16" ht="15.95" customHeight="1">
      <c r="A286" s="924" t="s">
        <v>2732</v>
      </c>
      <c r="B286" s="908" t="s">
        <v>1402</v>
      </c>
      <c r="C286" s="908" t="s">
        <v>96</v>
      </c>
      <c r="D286" s="910" t="s">
        <v>1698</v>
      </c>
      <c r="E286" s="917">
        <v>7000</v>
      </c>
      <c r="F286" s="908">
        <v>2298768</v>
      </c>
      <c r="G286" s="910" t="s">
        <v>1987</v>
      </c>
      <c r="H286" s="910" t="s">
        <v>1410</v>
      </c>
      <c r="I286" s="911" t="s">
        <v>1406</v>
      </c>
      <c r="J286" s="911" t="s">
        <v>1420</v>
      </c>
      <c r="K286" s="879">
        <v>0</v>
      </c>
      <c r="L286" s="878" t="s">
        <v>2731</v>
      </c>
      <c r="M286" s="880">
        <v>0</v>
      </c>
      <c r="N286" s="879">
        <v>1</v>
      </c>
      <c r="O286" s="878">
        <v>6</v>
      </c>
      <c r="P286" s="880">
        <v>43166.67</v>
      </c>
    </row>
    <row r="287" spans="1:16" ht="15.95" customHeight="1">
      <c r="A287" s="924" t="s">
        <v>2732</v>
      </c>
      <c r="B287" s="908" t="s">
        <v>1402</v>
      </c>
      <c r="C287" s="908" t="s">
        <v>96</v>
      </c>
      <c r="D287" s="910" t="s">
        <v>1988</v>
      </c>
      <c r="E287" s="917">
        <v>8000</v>
      </c>
      <c r="F287" s="908">
        <v>8650052</v>
      </c>
      <c r="G287" s="910" t="s">
        <v>1989</v>
      </c>
      <c r="H287" s="910" t="s">
        <v>1414</v>
      </c>
      <c r="I287" s="911" t="s">
        <v>1406</v>
      </c>
      <c r="J287" s="911" t="s">
        <v>1420</v>
      </c>
      <c r="K287" s="879">
        <v>1</v>
      </c>
      <c r="L287" s="878">
        <v>4</v>
      </c>
      <c r="M287" s="880">
        <v>30817.769999999997</v>
      </c>
      <c r="N287" s="879">
        <v>1</v>
      </c>
      <c r="O287" s="878">
        <v>6</v>
      </c>
      <c r="P287" s="880">
        <v>46471.11</v>
      </c>
    </row>
    <row r="288" spans="1:16" ht="15.95" customHeight="1">
      <c r="A288" s="924" t="s">
        <v>2732</v>
      </c>
      <c r="B288" s="908" t="s">
        <v>1402</v>
      </c>
      <c r="C288" s="908" t="s">
        <v>96</v>
      </c>
      <c r="D288" s="910" t="s">
        <v>1990</v>
      </c>
      <c r="E288" s="917">
        <v>8000</v>
      </c>
      <c r="F288" s="908">
        <v>45631322</v>
      </c>
      <c r="G288" s="910" t="s">
        <v>1991</v>
      </c>
      <c r="H288" s="910" t="s">
        <v>1565</v>
      </c>
      <c r="I288" s="911" t="s">
        <v>1406</v>
      </c>
      <c r="J288" s="911" t="s">
        <v>1411</v>
      </c>
      <c r="K288" s="879">
        <v>1</v>
      </c>
      <c r="L288" s="878">
        <v>6</v>
      </c>
      <c r="M288" s="880">
        <v>45616.1</v>
      </c>
      <c r="N288" s="879">
        <v>1</v>
      </c>
      <c r="O288" s="878">
        <v>1</v>
      </c>
      <c r="P288" s="880">
        <v>8000</v>
      </c>
    </row>
    <row r="289" spans="1:16" ht="15.95" customHeight="1">
      <c r="A289" s="924" t="s">
        <v>2732</v>
      </c>
      <c r="B289" s="908" t="s">
        <v>1402</v>
      </c>
      <c r="C289" s="908" t="s">
        <v>96</v>
      </c>
      <c r="D289" s="910" t="s">
        <v>1539</v>
      </c>
      <c r="E289" s="917">
        <v>5000</v>
      </c>
      <c r="F289" s="908">
        <v>6067756</v>
      </c>
      <c r="G289" s="910" t="s">
        <v>1992</v>
      </c>
      <c r="H289" s="910" t="s">
        <v>1560</v>
      </c>
      <c r="I289" s="911" t="s">
        <v>1406</v>
      </c>
      <c r="J289" s="911" t="s">
        <v>1407</v>
      </c>
      <c r="K289" s="879">
        <v>1</v>
      </c>
      <c r="L289" s="878">
        <v>12</v>
      </c>
      <c r="M289" s="880">
        <v>60300</v>
      </c>
      <c r="N289" s="879">
        <v>1</v>
      </c>
      <c r="O289" s="878">
        <v>6</v>
      </c>
      <c r="P289" s="880">
        <v>30000</v>
      </c>
    </row>
    <row r="290" spans="1:16" ht="24">
      <c r="A290" s="924" t="s">
        <v>2732</v>
      </c>
      <c r="B290" s="908" t="s">
        <v>1402</v>
      </c>
      <c r="C290" s="908" t="s">
        <v>96</v>
      </c>
      <c r="D290" s="910" t="s">
        <v>1541</v>
      </c>
      <c r="E290" s="917">
        <v>8000</v>
      </c>
      <c r="F290" s="908">
        <v>43101732</v>
      </c>
      <c r="G290" s="910" t="s">
        <v>1993</v>
      </c>
      <c r="H290" s="910" t="s">
        <v>1410</v>
      </c>
      <c r="I290" s="911" t="s">
        <v>1406</v>
      </c>
      <c r="J290" s="911" t="s">
        <v>1411</v>
      </c>
      <c r="K290" s="879">
        <v>1</v>
      </c>
      <c r="L290" s="878">
        <v>4</v>
      </c>
      <c r="M290" s="880">
        <v>30933.33</v>
      </c>
      <c r="N290" s="879">
        <v>1</v>
      </c>
      <c r="O290" s="878">
        <v>1</v>
      </c>
      <c r="P290" s="880">
        <v>8000</v>
      </c>
    </row>
    <row r="291" spans="1:16" ht="15.95" customHeight="1">
      <c r="A291" s="924" t="s">
        <v>2732</v>
      </c>
      <c r="B291" s="908" t="s">
        <v>1402</v>
      </c>
      <c r="C291" s="908" t="s">
        <v>96</v>
      </c>
      <c r="D291" s="910" t="s">
        <v>1816</v>
      </c>
      <c r="E291" s="917">
        <v>9000</v>
      </c>
      <c r="F291" s="908">
        <v>45231339</v>
      </c>
      <c r="G291" s="910" t="s">
        <v>1994</v>
      </c>
      <c r="H291" s="910" t="s">
        <v>1410</v>
      </c>
      <c r="I291" s="911" t="s">
        <v>1424</v>
      </c>
      <c r="J291" s="911" t="s">
        <v>1411</v>
      </c>
      <c r="K291" s="879">
        <v>1</v>
      </c>
      <c r="L291" s="878">
        <v>4</v>
      </c>
      <c r="M291" s="880">
        <v>34612.5</v>
      </c>
      <c r="N291" s="879">
        <v>1</v>
      </c>
      <c r="O291" s="878">
        <v>6</v>
      </c>
      <c r="P291" s="880">
        <v>54000</v>
      </c>
    </row>
    <row r="292" spans="1:16" ht="24">
      <c r="A292" s="924" t="s">
        <v>2732</v>
      </c>
      <c r="B292" s="908" t="s">
        <v>1402</v>
      </c>
      <c r="C292" s="908" t="s">
        <v>96</v>
      </c>
      <c r="D292" s="910" t="s">
        <v>1995</v>
      </c>
      <c r="E292" s="917">
        <v>6000</v>
      </c>
      <c r="F292" s="908">
        <v>8874225</v>
      </c>
      <c r="G292" s="910" t="s">
        <v>1996</v>
      </c>
      <c r="H292" s="910" t="s">
        <v>1504</v>
      </c>
      <c r="I292" s="911" t="s">
        <v>1406</v>
      </c>
      <c r="J292" s="911" t="s">
        <v>1420</v>
      </c>
      <c r="K292" s="879">
        <v>1</v>
      </c>
      <c r="L292" s="878">
        <v>6</v>
      </c>
      <c r="M292" s="880">
        <v>34600</v>
      </c>
      <c r="N292" s="879">
        <v>1</v>
      </c>
      <c r="O292" s="878">
        <v>6</v>
      </c>
      <c r="P292" s="880">
        <v>36000</v>
      </c>
    </row>
    <row r="293" spans="1:16" ht="15.95" customHeight="1">
      <c r="A293" s="924" t="s">
        <v>2732</v>
      </c>
      <c r="B293" s="908" t="s">
        <v>1402</v>
      </c>
      <c r="C293" s="908" t="s">
        <v>96</v>
      </c>
      <c r="D293" s="910" t="s">
        <v>1997</v>
      </c>
      <c r="E293" s="917">
        <v>9500</v>
      </c>
      <c r="F293" s="908">
        <v>40787648</v>
      </c>
      <c r="G293" s="910" t="s">
        <v>1998</v>
      </c>
      <c r="H293" s="910" t="s">
        <v>1432</v>
      </c>
      <c r="I293" s="911" t="s">
        <v>1406</v>
      </c>
      <c r="J293" s="911" t="s">
        <v>1411</v>
      </c>
      <c r="K293" s="879">
        <v>1</v>
      </c>
      <c r="L293" s="878">
        <v>12</v>
      </c>
      <c r="M293" s="880">
        <v>114300</v>
      </c>
      <c r="N293" s="879">
        <v>1</v>
      </c>
      <c r="O293" s="878">
        <v>5</v>
      </c>
      <c r="P293" s="880">
        <v>47500</v>
      </c>
    </row>
    <row r="294" spans="1:16" ht="24">
      <c r="A294" s="924" t="s">
        <v>2732</v>
      </c>
      <c r="B294" s="908" t="s">
        <v>1402</v>
      </c>
      <c r="C294" s="908" t="s">
        <v>96</v>
      </c>
      <c r="D294" s="910" t="s">
        <v>1999</v>
      </c>
      <c r="E294" s="917">
        <v>10000</v>
      </c>
      <c r="F294" s="908">
        <v>40779626</v>
      </c>
      <c r="G294" s="910" t="s">
        <v>2000</v>
      </c>
      <c r="H294" s="910" t="s">
        <v>1974</v>
      </c>
      <c r="I294" s="911" t="s">
        <v>1406</v>
      </c>
      <c r="J294" s="911" t="s">
        <v>1411</v>
      </c>
      <c r="K294" s="879">
        <v>1</v>
      </c>
      <c r="L294" s="878">
        <v>12</v>
      </c>
      <c r="M294" s="880">
        <v>119815.63</v>
      </c>
      <c r="N294" s="879">
        <v>1</v>
      </c>
      <c r="O294" s="878">
        <v>6</v>
      </c>
      <c r="P294" s="880">
        <v>59552.09</v>
      </c>
    </row>
    <row r="295" spans="1:16" ht="24">
      <c r="A295" s="924" t="s">
        <v>2732</v>
      </c>
      <c r="B295" s="908" t="s">
        <v>1402</v>
      </c>
      <c r="C295" s="908" t="s">
        <v>96</v>
      </c>
      <c r="D295" s="910" t="s">
        <v>1578</v>
      </c>
      <c r="E295" s="917">
        <v>6500</v>
      </c>
      <c r="F295" s="908">
        <v>46597238</v>
      </c>
      <c r="G295" s="910" t="s">
        <v>2001</v>
      </c>
      <c r="H295" s="910" t="s">
        <v>1414</v>
      </c>
      <c r="I295" s="911" t="s">
        <v>1406</v>
      </c>
      <c r="J295" s="911" t="s">
        <v>1420</v>
      </c>
      <c r="K295" s="879">
        <v>1</v>
      </c>
      <c r="L295" s="878">
        <v>6</v>
      </c>
      <c r="M295" s="880">
        <v>37483.33</v>
      </c>
      <c r="N295" s="879">
        <v>1</v>
      </c>
      <c r="O295" s="878">
        <v>6</v>
      </c>
      <c r="P295" s="880">
        <v>39000</v>
      </c>
    </row>
    <row r="296" spans="1:16" ht="15.95" customHeight="1">
      <c r="A296" s="924" t="s">
        <v>2732</v>
      </c>
      <c r="B296" s="908" t="s">
        <v>1402</v>
      </c>
      <c r="C296" s="908" t="s">
        <v>96</v>
      </c>
      <c r="D296" s="910" t="s">
        <v>1630</v>
      </c>
      <c r="E296" s="917">
        <v>13000</v>
      </c>
      <c r="F296" s="908">
        <v>32905228</v>
      </c>
      <c r="G296" s="910" t="s">
        <v>2002</v>
      </c>
      <c r="H296" s="910" t="s">
        <v>1417</v>
      </c>
      <c r="I296" s="911" t="s">
        <v>1406</v>
      </c>
      <c r="J296" s="911" t="s">
        <v>1411</v>
      </c>
      <c r="K296" s="879">
        <v>1</v>
      </c>
      <c r="L296" s="878">
        <v>12</v>
      </c>
      <c r="M296" s="880">
        <v>152400</v>
      </c>
      <c r="N296" s="879">
        <v>1</v>
      </c>
      <c r="O296" s="878">
        <v>6</v>
      </c>
      <c r="P296" s="880">
        <v>78000</v>
      </c>
    </row>
    <row r="297" spans="1:16" ht="24">
      <c r="A297" s="924" t="s">
        <v>2732</v>
      </c>
      <c r="B297" s="908" t="s">
        <v>1402</v>
      </c>
      <c r="C297" s="908" t="s">
        <v>96</v>
      </c>
      <c r="D297" s="910" t="s">
        <v>1751</v>
      </c>
      <c r="E297" s="917">
        <v>12500</v>
      </c>
      <c r="F297" s="908">
        <v>8828558</v>
      </c>
      <c r="G297" s="910" t="s">
        <v>2003</v>
      </c>
      <c r="H297" s="910" t="s">
        <v>1519</v>
      </c>
      <c r="I297" s="911" t="s">
        <v>1406</v>
      </c>
      <c r="J297" s="911" t="s">
        <v>1411</v>
      </c>
      <c r="K297" s="879">
        <v>1</v>
      </c>
      <c r="L297" s="878">
        <v>11</v>
      </c>
      <c r="M297" s="880">
        <v>131550</v>
      </c>
      <c r="N297" s="879">
        <v>0</v>
      </c>
      <c r="O297" s="878" t="s">
        <v>2731</v>
      </c>
      <c r="P297" s="880">
        <v>0</v>
      </c>
    </row>
    <row r="298" spans="1:16" ht="15.95" customHeight="1">
      <c r="A298" s="924" t="s">
        <v>2732</v>
      </c>
      <c r="B298" s="908" t="s">
        <v>1402</v>
      </c>
      <c r="C298" s="908" t="s">
        <v>96</v>
      </c>
      <c r="D298" s="910" t="s">
        <v>2004</v>
      </c>
      <c r="E298" s="917">
        <v>6000</v>
      </c>
      <c r="F298" s="908">
        <v>70469568</v>
      </c>
      <c r="G298" s="910" t="s">
        <v>2005</v>
      </c>
      <c r="H298" s="910" t="s">
        <v>1410</v>
      </c>
      <c r="I298" s="911" t="s">
        <v>1406</v>
      </c>
      <c r="J298" s="911" t="s">
        <v>1411</v>
      </c>
      <c r="K298" s="879">
        <v>1</v>
      </c>
      <c r="L298" s="878">
        <v>2</v>
      </c>
      <c r="M298" s="880">
        <v>17400</v>
      </c>
      <c r="N298" s="879">
        <v>0</v>
      </c>
      <c r="O298" s="878" t="s">
        <v>2731</v>
      </c>
      <c r="P298" s="880">
        <v>0</v>
      </c>
    </row>
    <row r="299" spans="1:16" ht="15.95" customHeight="1">
      <c r="A299" s="924" t="s">
        <v>2732</v>
      </c>
      <c r="B299" s="908" t="s">
        <v>1402</v>
      </c>
      <c r="C299" s="908" t="s">
        <v>96</v>
      </c>
      <c r="D299" s="910" t="s">
        <v>1530</v>
      </c>
      <c r="E299" s="917">
        <v>2200</v>
      </c>
      <c r="F299" s="908">
        <v>42935725</v>
      </c>
      <c r="G299" s="910" t="s">
        <v>2006</v>
      </c>
      <c r="H299" s="910" t="s">
        <v>1491</v>
      </c>
      <c r="I299" s="911" t="s">
        <v>1420</v>
      </c>
      <c r="J299" s="911" t="s">
        <v>1420</v>
      </c>
      <c r="K299" s="879">
        <v>1</v>
      </c>
      <c r="L299" s="878">
        <v>4</v>
      </c>
      <c r="M299" s="880">
        <v>8506.67</v>
      </c>
      <c r="N299" s="879">
        <v>1</v>
      </c>
      <c r="O299" s="878">
        <v>6</v>
      </c>
      <c r="P299" s="880">
        <v>13126.67</v>
      </c>
    </row>
    <row r="300" spans="1:16" ht="15.95" customHeight="1">
      <c r="A300" s="924" t="s">
        <v>2732</v>
      </c>
      <c r="B300" s="908" t="s">
        <v>1402</v>
      </c>
      <c r="C300" s="908" t="s">
        <v>96</v>
      </c>
      <c r="D300" s="910" t="s">
        <v>1693</v>
      </c>
      <c r="E300" s="917">
        <v>15600</v>
      </c>
      <c r="F300" s="908">
        <v>30832092</v>
      </c>
      <c r="G300" s="910" t="s">
        <v>2007</v>
      </c>
      <c r="H300" s="910" t="s">
        <v>1410</v>
      </c>
      <c r="I300" s="911" t="s">
        <v>1420</v>
      </c>
      <c r="J300" s="911" t="s">
        <v>1411</v>
      </c>
      <c r="K300" s="879">
        <v>1</v>
      </c>
      <c r="L300" s="878">
        <v>3</v>
      </c>
      <c r="M300" s="880">
        <v>42640</v>
      </c>
      <c r="N300" s="879">
        <v>0</v>
      </c>
      <c r="O300" s="878" t="s">
        <v>2731</v>
      </c>
      <c r="P300" s="880">
        <v>0</v>
      </c>
    </row>
    <row r="301" spans="1:16" ht="15.95" customHeight="1">
      <c r="A301" s="924" t="s">
        <v>2732</v>
      </c>
      <c r="B301" s="908" t="s">
        <v>1402</v>
      </c>
      <c r="C301" s="908" t="s">
        <v>96</v>
      </c>
      <c r="D301" s="910" t="s">
        <v>1905</v>
      </c>
      <c r="E301" s="917">
        <v>7000</v>
      </c>
      <c r="F301" s="908">
        <v>43323522</v>
      </c>
      <c r="G301" s="910" t="s">
        <v>2008</v>
      </c>
      <c r="H301" s="910" t="s">
        <v>1410</v>
      </c>
      <c r="I301" s="911" t="s">
        <v>1406</v>
      </c>
      <c r="J301" s="911" t="s">
        <v>1411</v>
      </c>
      <c r="K301" s="879">
        <v>1</v>
      </c>
      <c r="L301" s="878">
        <v>5</v>
      </c>
      <c r="M301" s="880">
        <v>35000</v>
      </c>
      <c r="N301" s="879">
        <v>0</v>
      </c>
      <c r="O301" s="878" t="s">
        <v>2731</v>
      </c>
      <c r="P301" s="880">
        <v>0</v>
      </c>
    </row>
    <row r="302" spans="1:16" ht="15.95" customHeight="1">
      <c r="A302" s="924" t="s">
        <v>2732</v>
      </c>
      <c r="B302" s="908" t="s">
        <v>1402</v>
      </c>
      <c r="C302" s="908" t="s">
        <v>96</v>
      </c>
      <c r="D302" s="910" t="s">
        <v>1435</v>
      </c>
      <c r="E302" s="917">
        <v>6000</v>
      </c>
      <c r="F302" s="908">
        <v>76882597</v>
      </c>
      <c r="G302" s="910" t="s">
        <v>2009</v>
      </c>
      <c r="H302" s="910" t="s">
        <v>1417</v>
      </c>
      <c r="I302" s="911" t="s">
        <v>1480</v>
      </c>
      <c r="J302" s="911" t="s">
        <v>1420</v>
      </c>
      <c r="K302" s="879">
        <v>1</v>
      </c>
      <c r="L302" s="878">
        <v>5</v>
      </c>
      <c r="M302" s="880">
        <v>27200</v>
      </c>
      <c r="N302" s="879">
        <v>1</v>
      </c>
      <c r="O302" s="878">
        <v>6</v>
      </c>
      <c r="P302" s="880">
        <v>36000</v>
      </c>
    </row>
    <row r="303" spans="1:16" ht="24">
      <c r="A303" s="924" t="s">
        <v>2732</v>
      </c>
      <c r="B303" s="908" t="s">
        <v>1402</v>
      </c>
      <c r="C303" s="908" t="s">
        <v>96</v>
      </c>
      <c r="D303" s="910" t="s">
        <v>1995</v>
      </c>
      <c r="E303" s="917">
        <v>7000</v>
      </c>
      <c r="F303" s="908">
        <v>6804650</v>
      </c>
      <c r="G303" s="910" t="s">
        <v>2010</v>
      </c>
      <c r="H303" s="910" t="s">
        <v>1461</v>
      </c>
      <c r="I303" s="911" t="s">
        <v>1420</v>
      </c>
      <c r="J303" s="911" t="s">
        <v>1411</v>
      </c>
      <c r="K303" s="879">
        <v>1</v>
      </c>
      <c r="L303" s="878">
        <v>12</v>
      </c>
      <c r="M303" s="880">
        <v>77266.67</v>
      </c>
      <c r="N303" s="879">
        <v>1</v>
      </c>
      <c r="O303" s="878">
        <v>6</v>
      </c>
      <c r="P303" s="880">
        <v>42000</v>
      </c>
    </row>
    <row r="304" spans="1:16" ht="24">
      <c r="A304" s="924" t="s">
        <v>2732</v>
      </c>
      <c r="B304" s="908" t="s">
        <v>1402</v>
      </c>
      <c r="C304" s="908" t="s">
        <v>96</v>
      </c>
      <c r="D304" s="910" t="s">
        <v>2011</v>
      </c>
      <c r="E304" s="917">
        <v>12000</v>
      </c>
      <c r="F304" s="908">
        <v>41258635</v>
      </c>
      <c r="G304" s="910" t="s">
        <v>2012</v>
      </c>
      <c r="H304" s="910" t="s">
        <v>1461</v>
      </c>
      <c r="I304" s="911" t="s">
        <v>1406</v>
      </c>
      <c r="J304" s="911" t="s">
        <v>1411</v>
      </c>
      <c r="K304" s="879">
        <v>1</v>
      </c>
      <c r="L304" s="878">
        <v>12</v>
      </c>
      <c r="M304" s="880">
        <v>144600</v>
      </c>
      <c r="N304" s="879">
        <v>1</v>
      </c>
      <c r="O304" s="878">
        <v>6</v>
      </c>
      <c r="P304" s="880">
        <v>72000</v>
      </c>
    </row>
    <row r="305" spans="1:16" ht="24">
      <c r="A305" s="924" t="s">
        <v>2732</v>
      </c>
      <c r="B305" s="908" t="s">
        <v>1402</v>
      </c>
      <c r="C305" s="908" t="s">
        <v>96</v>
      </c>
      <c r="D305" s="910" t="s">
        <v>2013</v>
      </c>
      <c r="E305" s="917">
        <v>12000</v>
      </c>
      <c r="F305" s="908">
        <v>42841612</v>
      </c>
      <c r="G305" s="910" t="s">
        <v>2014</v>
      </c>
      <c r="H305" s="910" t="s">
        <v>1410</v>
      </c>
      <c r="I305" s="911" t="s">
        <v>1406</v>
      </c>
      <c r="J305" s="911" t="s">
        <v>1411</v>
      </c>
      <c r="K305" s="879">
        <v>1</v>
      </c>
      <c r="L305" s="878">
        <v>4</v>
      </c>
      <c r="M305" s="880">
        <v>52800</v>
      </c>
      <c r="N305" s="879">
        <v>0</v>
      </c>
      <c r="O305" s="878" t="s">
        <v>2731</v>
      </c>
      <c r="P305" s="880">
        <v>0</v>
      </c>
    </row>
    <row r="306" spans="1:16" ht="15.95" customHeight="1">
      <c r="A306" s="924" t="s">
        <v>2732</v>
      </c>
      <c r="B306" s="908" t="s">
        <v>1402</v>
      </c>
      <c r="C306" s="908" t="s">
        <v>96</v>
      </c>
      <c r="D306" s="910" t="s">
        <v>1696</v>
      </c>
      <c r="E306" s="917">
        <v>8000</v>
      </c>
      <c r="F306" s="908">
        <v>19255163</v>
      </c>
      <c r="G306" s="910" t="s">
        <v>2015</v>
      </c>
      <c r="H306" s="910" t="s">
        <v>1410</v>
      </c>
      <c r="I306" s="911" t="s">
        <v>1406</v>
      </c>
      <c r="J306" s="911" t="s">
        <v>1411</v>
      </c>
      <c r="K306" s="879">
        <v>1</v>
      </c>
      <c r="L306" s="878">
        <v>7</v>
      </c>
      <c r="M306" s="880">
        <v>50166.62</v>
      </c>
      <c r="N306" s="879">
        <v>0</v>
      </c>
      <c r="O306" s="878" t="s">
        <v>2731</v>
      </c>
      <c r="P306" s="880">
        <v>0</v>
      </c>
    </row>
    <row r="307" spans="1:16" ht="24">
      <c r="A307" s="924" t="s">
        <v>2732</v>
      </c>
      <c r="B307" s="908" t="s">
        <v>1402</v>
      </c>
      <c r="C307" s="908" t="s">
        <v>96</v>
      </c>
      <c r="D307" s="910" t="s">
        <v>2016</v>
      </c>
      <c r="E307" s="917">
        <v>3000</v>
      </c>
      <c r="F307" s="908">
        <v>40263373</v>
      </c>
      <c r="G307" s="910" t="s">
        <v>2017</v>
      </c>
      <c r="H307" s="910" t="s">
        <v>1451</v>
      </c>
      <c r="I307" s="911" t="s">
        <v>1452</v>
      </c>
      <c r="J307" s="911" t="s">
        <v>1451</v>
      </c>
      <c r="K307" s="879">
        <v>1</v>
      </c>
      <c r="L307" s="878">
        <v>12</v>
      </c>
      <c r="M307" s="880">
        <v>36300</v>
      </c>
      <c r="N307" s="879">
        <v>1</v>
      </c>
      <c r="O307" s="878">
        <v>6</v>
      </c>
      <c r="P307" s="880">
        <v>18000</v>
      </c>
    </row>
    <row r="308" spans="1:16" ht="15.95" customHeight="1">
      <c r="A308" s="924" t="s">
        <v>2732</v>
      </c>
      <c r="B308" s="908" t="s">
        <v>1402</v>
      </c>
      <c r="C308" s="908" t="s">
        <v>96</v>
      </c>
      <c r="D308" s="910" t="s">
        <v>2018</v>
      </c>
      <c r="E308" s="917">
        <v>6000</v>
      </c>
      <c r="F308" s="908">
        <v>6750353</v>
      </c>
      <c r="G308" s="910" t="s">
        <v>2019</v>
      </c>
      <c r="H308" s="910" t="s">
        <v>1455</v>
      </c>
      <c r="I308" s="911" t="s">
        <v>1406</v>
      </c>
      <c r="J308" s="911" t="s">
        <v>1411</v>
      </c>
      <c r="K308" s="879">
        <v>1</v>
      </c>
      <c r="L308" s="878">
        <v>12</v>
      </c>
      <c r="M308" s="880">
        <v>72300</v>
      </c>
      <c r="N308" s="879">
        <v>1</v>
      </c>
      <c r="O308" s="878">
        <v>6</v>
      </c>
      <c r="P308" s="880">
        <v>36000</v>
      </c>
    </row>
    <row r="309" spans="1:16" ht="15.95" customHeight="1">
      <c r="A309" s="924" t="s">
        <v>2732</v>
      </c>
      <c r="B309" s="908" t="s">
        <v>1402</v>
      </c>
      <c r="C309" s="908" t="s">
        <v>96</v>
      </c>
      <c r="D309" s="910" t="s">
        <v>2020</v>
      </c>
      <c r="E309" s="917">
        <v>7000</v>
      </c>
      <c r="F309" s="908">
        <v>44749477</v>
      </c>
      <c r="G309" s="910" t="s">
        <v>2021</v>
      </c>
      <c r="H309" s="910" t="s">
        <v>1410</v>
      </c>
      <c r="I309" s="911" t="s">
        <v>1406</v>
      </c>
      <c r="J309" s="911" t="s">
        <v>1411</v>
      </c>
      <c r="K309" s="879">
        <v>1</v>
      </c>
      <c r="L309" s="878">
        <v>6</v>
      </c>
      <c r="M309" s="880">
        <v>40366.67</v>
      </c>
      <c r="N309" s="879">
        <v>1</v>
      </c>
      <c r="O309" s="878">
        <v>6</v>
      </c>
      <c r="P309" s="880">
        <v>42000</v>
      </c>
    </row>
    <row r="310" spans="1:16" ht="15.95" customHeight="1">
      <c r="A310" s="924" t="s">
        <v>2732</v>
      </c>
      <c r="B310" s="908" t="s">
        <v>1402</v>
      </c>
      <c r="C310" s="908" t="s">
        <v>96</v>
      </c>
      <c r="D310" s="910" t="s">
        <v>2022</v>
      </c>
      <c r="E310" s="917">
        <v>12000</v>
      </c>
      <c r="F310" s="908">
        <v>10706807</v>
      </c>
      <c r="G310" s="910" t="s">
        <v>2023</v>
      </c>
      <c r="H310" s="910" t="s">
        <v>2024</v>
      </c>
      <c r="I310" s="911" t="s">
        <v>1406</v>
      </c>
      <c r="J310" s="911" t="s">
        <v>1420</v>
      </c>
      <c r="K310" s="879">
        <v>0</v>
      </c>
      <c r="L310" s="878" t="s">
        <v>2731</v>
      </c>
      <c r="M310" s="880">
        <v>0</v>
      </c>
      <c r="N310" s="879">
        <v>1</v>
      </c>
      <c r="O310" s="878">
        <v>6</v>
      </c>
      <c r="P310" s="880">
        <v>73329.16</v>
      </c>
    </row>
    <row r="311" spans="1:16" ht="24">
      <c r="A311" s="924" t="s">
        <v>2732</v>
      </c>
      <c r="B311" s="908" t="s">
        <v>1402</v>
      </c>
      <c r="C311" s="908" t="s">
        <v>96</v>
      </c>
      <c r="D311" s="910" t="s">
        <v>2025</v>
      </c>
      <c r="E311" s="917">
        <v>6000</v>
      </c>
      <c r="F311" s="908">
        <v>45510164</v>
      </c>
      <c r="G311" s="910" t="s">
        <v>2026</v>
      </c>
      <c r="H311" s="910" t="s">
        <v>1670</v>
      </c>
      <c r="I311" s="911" t="s">
        <v>1420</v>
      </c>
      <c r="J311" s="911" t="s">
        <v>1411</v>
      </c>
      <c r="K311" s="879">
        <v>1</v>
      </c>
      <c r="L311" s="878">
        <v>12</v>
      </c>
      <c r="M311" s="880">
        <v>72300</v>
      </c>
      <c r="N311" s="879">
        <v>1</v>
      </c>
      <c r="O311" s="878">
        <v>6</v>
      </c>
      <c r="P311" s="880">
        <v>36000</v>
      </c>
    </row>
    <row r="312" spans="1:16" ht="24">
      <c r="A312" s="924" t="s">
        <v>2732</v>
      </c>
      <c r="B312" s="908" t="s">
        <v>1402</v>
      </c>
      <c r="C312" s="908" t="s">
        <v>96</v>
      </c>
      <c r="D312" s="910" t="s">
        <v>2027</v>
      </c>
      <c r="E312" s="917">
        <v>12000</v>
      </c>
      <c r="F312" s="908">
        <v>8888553</v>
      </c>
      <c r="G312" s="910" t="s">
        <v>2028</v>
      </c>
      <c r="H312" s="910" t="s">
        <v>1795</v>
      </c>
      <c r="I312" s="911" t="s">
        <v>1406</v>
      </c>
      <c r="J312" s="911" t="s">
        <v>1411</v>
      </c>
      <c r="K312" s="879">
        <v>1</v>
      </c>
      <c r="L312" s="878">
        <v>12</v>
      </c>
      <c r="M312" s="880">
        <v>144600</v>
      </c>
      <c r="N312" s="879">
        <v>1</v>
      </c>
      <c r="O312" s="878">
        <v>6</v>
      </c>
      <c r="P312" s="880">
        <v>72000</v>
      </c>
    </row>
    <row r="313" spans="1:16" ht="15.95" customHeight="1">
      <c r="A313" s="924" t="s">
        <v>2732</v>
      </c>
      <c r="B313" s="908" t="s">
        <v>1402</v>
      </c>
      <c r="C313" s="908" t="s">
        <v>96</v>
      </c>
      <c r="D313" s="910" t="s">
        <v>2029</v>
      </c>
      <c r="E313" s="917">
        <v>10000</v>
      </c>
      <c r="F313" s="908">
        <v>41576469</v>
      </c>
      <c r="G313" s="910" t="s">
        <v>2030</v>
      </c>
      <c r="H313" s="910" t="s">
        <v>1625</v>
      </c>
      <c r="I313" s="911" t="s">
        <v>1406</v>
      </c>
      <c r="J313" s="911" t="s">
        <v>1411</v>
      </c>
      <c r="K313" s="879">
        <v>1</v>
      </c>
      <c r="L313" s="878">
        <v>12</v>
      </c>
      <c r="M313" s="880">
        <v>120300</v>
      </c>
      <c r="N313" s="879">
        <v>1</v>
      </c>
      <c r="O313" s="878">
        <v>6</v>
      </c>
      <c r="P313" s="880">
        <v>60000</v>
      </c>
    </row>
    <row r="314" spans="1:16" ht="15.95" customHeight="1">
      <c r="A314" s="924" t="s">
        <v>2732</v>
      </c>
      <c r="B314" s="908" t="s">
        <v>1402</v>
      </c>
      <c r="C314" s="908" t="s">
        <v>96</v>
      </c>
      <c r="D314" s="910" t="s">
        <v>2031</v>
      </c>
      <c r="E314" s="917">
        <v>5000</v>
      </c>
      <c r="F314" s="908">
        <v>6221770</v>
      </c>
      <c r="G314" s="910" t="s">
        <v>2032</v>
      </c>
      <c r="H314" s="910" t="s">
        <v>1565</v>
      </c>
      <c r="I314" s="911" t="s">
        <v>1406</v>
      </c>
      <c r="J314" s="911" t="s">
        <v>1420</v>
      </c>
      <c r="K314" s="879">
        <v>1</v>
      </c>
      <c r="L314" s="878">
        <v>4</v>
      </c>
      <c r="M314" s="880">
        <v>19274.650000000001</v>
      </c>
      <c r="N314" s="879">
        <v>1</v>
      </c>
      <c r="O314" s="878">
        <v>5</v>
      </c>
      <c r="P314" s="880">
        <v>25000</v>
      </c>
    </row>
    <row r="315" spans="1:16" ht="15.95" customHeight="1">
      <c r="A315" s="924" t="s">
        <v>2732</v>
      </c>
      <c r="B315" s="908" t="s">
        <v>1402</v>
      </c>
      <c r="C315" s="908" t="s">
        <v>96</v>
      </c>
      <c r="D315" s="910" t="s">
        <v>1751</v>
      </c>
      <c r="E315" s="917">
        <v>15600</v>
      </c>
      <c r="F315" s="908">
        <v>7201843</v>
      </c>
      <c r="G315" s="910" t="s">
        <v>2033</v>
      </c>
      <c r="H315" s="910" t="s">
        <v>1417</v>
      </c>
      <c r="I315" s="911" t="s">
        <v>1406</v>
      </c>
      <c r="J315" s="911" t="s">
        <v>1411</v>
      </c>
      <c r="K315" s="879">
        <v>1</v>
      </c>
      <c r="L315" s="878">
        <v>12</v>
      </c>
      <c r="M315" s="880">
        <v>187500</v>
      </c>
      <c r="N315" s="879">
        <v>1</v>
      </c>
      <c r="O315" s="878">
        <v>1</v>
      </c>
      <c r="P315" s="880">
        <v>3640</v>
      </c>
    </row>
    <row r="316" spans="1:16" ht="15.95" customHeight="1">
      <c r="A316" s="924" t="s">
        <v>2732</v>
      </c>
      <c r="B316" s="908" t="s">
        <v>1402</v>
      </c>
      <c r="C316" s="908" t="s">
        <v>96</v>
      </c>
      <c r="D316" s="910" t="s">
        <v>2034</v>
      </c>
      <c r="E316" s="917">
        <v>8000</v>
      </c>
      <c r="F316" s="908">
        <v>42560793</v>
      </c>
      <c r="G316" s="910" t="s">
        <v>2035</v>
      </c>
      <c r="H316" s="910" t="s">
        <v>1417</v>
      </c>
      <c r="I316" s="911" t="s">
        <v>1406</v>
      </c>
      <c r="J316" s="911" t="s">
        <v>1420</v>
      </c>
      <c r="K316" s="879">
        <v>1</v>
      </c>
      <c r="L316" s="878">
        <v>5</v>
      </c>
      <c r="M316" s="880">
        <v>37066.67</v>
      </c>
      <c r="N316" s="879">
        <v>1</v>
      </c>
      <c r="O316" s="878">
        <v>6</v>
      </c>
      <c r="P316" s="880">
        <v>48000</v>
      </c>
    </row>
    <row r="317" spans="1:16" ht="15.95" customHeight="1">
      <c r="A317" s="924" t="s">
        <v>2732</v>
      </c>
      <c r="B317" s="908" t="s">
        <v>1402</v>
      </c>
      <c r="C317" s="908" t="s">
        <v>96</v>
      </c>
      <c r="D317" s="910" t="s">
        <v>2036</v>
      </c>
      <c r="E317" s="917">
        <v>13000</v>
      </c>
      <c r="F317" s="908">
        <v>10556566</v>
      </c>
      <c r="G317" s="910" t="s">
        <v>2037</v>
      </c>
      <c r="H317" s="910" t="s">
        <v>1410</v>
      </c>
      <c r="I317" s="911" t="s">
        <v>1406</v>
      </c>
      <c r="J317" s="911" t="s">
        <v>1411</v>
      </c>
      <c r="K317" s="879">
        <v>1</v>
      </c>
      <c r="L317" s="878">
        <v>4</v>
      </c>
      <c r="M317" s="880">
        <v>48966.67</v>
      </c>
      <c r="N317" s="879">
        <v>0</v>
      </c>
      <c r="O317" s="878" t="s">
        <v>2731</v>
      </c>
      <c r="P317" s="880">
        <v>0</v>
      </c>
    </row>
    <row r="318" spans="1:16" ht="24">
      <c r="A318" s="924" t="s">
        <v>2732</v>
      </c>
      <c r="B318" s="908" t="s">
        <v>1402</v>
      </c>
      <c r="C318" s="908" t="s">
        <v>96</v>
      </c>
      <c r="D318" s="910" t="s">
        <v>2038</v>
      </c>
      <c r="E318" s="917">
        <v>6000</v>
      </c>
      <c r="F318" s="908">
        <v>45810804</v>
      </c>
      <c r="G318" s="910" t="s">
        <v>2039</v>
      </c>
      <c r="H318" s="910" t="s">
        <v>1787</v>
      </c>
      <c r="I318" s="911" t="s">
        <v>1420</v>
      </c>
      <c r="J318" s="911" t="s">
        <v>1411</v>
      </c>
      <c r="K318" s="879">
        <v>1</v>
      </c>
      <c r="L318" s="878">
        <v>12</v>
      </c>
      <c r="M318" s="880">
        <v>71526.67</v>
      </c>
      <c r="N318" s="879">
        <v>1</v>
      </c>
      <c r="O318" s="878">
        <v>6</v>
      </c>
      <c r="P318" s="880">
        <v>35615</v>
      </c>
    </row>
    <row r="319" spans="1:16" ht="15.95" customHeight="1">
      <c r="A319" s="924" t="s">
        <v>2732</v>
      </c>
      <c r="B319" s="908" t="s">
        <v>1402</v>
      </c>
      <c r="C319" s="908" t="s">
        <v>96</v>
      </c>
      <c r="D319" s="910" t="s">
        <v>1630</v>
      </c>
      <c r="E319" s="917">
        <v>6500</v>
      </c>
      <c r="F319" s="908">
        <v>40914425</v>
      </c>
      <c r="G319" s="910" t="s">
        <v>2040</v>
      </c>
      <c r="H319" s="910" t="s">
        <v>1926</v>
      </c>
      <c r="I319" s="911" t="s">
        <v>1420</v>
      </c>
      <c r="J319" s="911" t="s">
        <v>1411</v>
      </c>
      <c r="K319" s="879">
        <v>1</v>
      </c>
      <c r="L319" s="878">
        <v>3</v>
      </c>
      <c r="M319" s="880">
        <v>19500</v>
      </c>
      <c r="N319" s="879">
        <v>0</v>
      </c>
      <c r="O319" s="878" t="s">
        <v>2731</v>
      </c>
      <c r="P319" s="880">
        <v>0</v>
      </c>
    </row>
    <row r="320" spans="1:16" ht="24">
      <c r="A320" s="924" t="s">
        <v>2732</v>
      </c>
      <c r="B320" s="908" t="s">
        <v>1402</v>
      </c>
      <c r="C320" s="908" t="s">
        <v>96</v>
      </c>
      <c r="D320" s="910" t="s">
        <v>2041</v>
      </c>
      <c r="E320" s="917">
        <v>7000</v>
      </c>
      <c r="F320" s="908">
        <v>10350868</v>
      </c>
      <c r="G320" s="910" t="s">
        <v>2042</v>
      </c>
      <c r="H320" s="910" t="s">
        <v>1725</v>
      </c>
      <c r="I320" s="911" t="s">
        <v>1406</v>
      </c>
      <c r="J320" s="911" t="s">
        <v>1411</v>
      </c>
      <c r="K320" s="879">
        <v>1</v>
      </c>
      <c r="L320" s="878">
        <v>6</v>
      </c>
      <c r="M320" s="880">
        <v>40366.67</v>
      </c>
      <c r="N320" s="879">
        <v>1</v>
      </c>
      <c r="O320" s="878">
        <v>6</v>
      </c>
      <c r="P320" s="880">
        <v>42000</v>
      </c>
    </row>
    <row r="321" spans="1:16" ht="24">
      <c r="A321" s="924" t="s">
        <v>2732</v>
      </c>
      <c r="B321" s="908" t="s">
        <v>1402</v>
      </c>
      <c r="C321" s="908" t="s">
        <v>96</v>
      </c>
      <c r="D321" s="910" t="s">
        <v>1505</v>
      </c>
      <c r="E321" s="917">
        <v>4000</v>
      </c>
      <c r="F321" s="908">
        <v>46618364</v>
      </c>
      <c r="G321" s="910" t="s">
        <v>2043</v>
      </c>
      <c r="H321" s="910" t="s">
        <v>1565</v>
      </c>
      <c r="I321" s="911" t="s">
        <v>1420</v>
      </c>
      <c r="J321" s="911" t="s">
        <v>1420</v>
      </c>
      <c r="K321" s="879">
        <v>1</v>
      </c>
      <c r="L321" s="878">
        <v>6</v>
      </c>
      <c r="M321" s="880">
        <v>22715.43</v>
      </c>
      <c r="N321" s="879">
        <v>1</v>
      </c>
      <c r="O321" s="878">
        <v>6</v>
      </c>
      <c r="P321" s="880">
        <v>23742.22</v>
      </c>
    </row>
    <row r="322" spans="1:16" ht="15.95" customHeight="1">
      <c r="A322" s="924" t="s">
        <v>2732</v>
      </c>
      <c r="B322" s="908" t="s">
        <v>1402</v>
      </c>
      <c r="C322" s="908" t="s">
        <v>96</v>
      </c>
      <c r="D322" s="910" t="s">
        <v>2044</v>
      </c>
      <c r="E322" s="917">
        <v>12000</v>
      </c>
      <c r="F322" s="908">
        <v>41584657</v>
      </c>
      <c r="G322" s="910" t="s">
        <v>2045</v>
      </c>
      <c r="H322" s="910" t="s">
        <v>1410</v>
      </c>
      <c r="I322" s="911" t="s">
        <v>1424</v>
      </c>
      <c r="J322" s="911" t="s">
        <v>1411</v>
      </c>
      <c r="K322" s="879">
        <v>1</v>
      </c>
      <c r="L322" s="878">
        <v>3</v>
      </c>
      <c r="M322" s="880">
        <v>33200</v>
      </c>
      <c r="N322" s="879">
        <v>0</v>
      </c>
      <c r="O322" s="878" t="s">
        <v>2731</v>
      </c>
      <c r="P322" s="880">
        <v>0</v>
      </c>
    </row>
    <row r="323" spans="1:16" ht="24">
      <c r="A323" s="924" t="s">
        <v>2732</v>
      </c>
      <c r="B323" s="908" t="s">
        <v>1402</v>
      </c>
      <c r="C323" s="908" t="s">
        <v>96</v>
      </c>
      <c r="D323" s="910" t="s">
        <v>2046</v>
      </c>
      <c r="E323" s="917">
        <v>7000</v>
      </c>
      <c r="F323" s="908">
        <v>6019934</v>
      </c>
      <c r="G323" s="910" t="s">
        <v>2047</v>
      </c>
      <c r="H323" s="910" t="s">
        <v>1488</v>
      </c>
      <c r="I323" s="911" t="s">
        <v>1406</v>
      </c>
      <c r="J323" s="911" t="s">
        <v>1411</v>
      </c>
      <c r="K323" s="879">
        <v>1</v>
      </c>
      <c r="L323" s="878">
        <v>12</v>
      </c>
      <c r="M323" s="880">
        <v>84300</v>
      </c>
      <c r="N323" s="879">
        <v>1</v>
      </c>
      <c r="O323" s="878">
        <v>6</v>
      </c>
      <c r="P323" s="880">
        <v>42000</v>
      </c>
    </row>
    <row r="324" spans="1:16" ht="15.95" customHeight="1">
      <c r="A324" s="924" t="s">
        <v>2732</v>
      </c>
      <c r="B324" s="908" t="s">
        <v>1402</v>
      </c>
      <c r="C324" s="908" t="s">
        <v>96</v>
      </c>
      <c r="D324" s="910" t="s">
        <v>2048</v>
      </c>
      <c r="E324" s="917">
        <v>4550</v>
      </c>
      <c r="F324" s="908">
        <v>46638408</v>
      </c>
      <c r="G324" s="910" t="s">
        <v>2049</v>
      </c>
      <c r="H324" s="910" t="s">
        <v>1455</v>
      </c>
      <c r="I324" s="911" t="s">
        <v>1420</v>
      </c>
      <c r="J324" s="911" t="s">
        <v>1411</v>
      </c>
      <c r="K324" s="879">
        <v>1</v>
      </c>
      <c r="L324" s="878">
        <v>4</v>
      </c>
      <c r="M324" s="880">
        <v>16835</v>
      </c>
      <c r="N324" s="879">
        <v>1</v>
      </c>
      <c r="O324" s="878">
        <v>6</v>
      </c>
      <c r="P324" s="880">
        <v>27001.72</v>
      </c>
    </row>
    <row r="325" spans="1:16" ht="24">
      <c r="A325" s="924" t="s">
        <v>2732</v>
      </c>
      <c r="B325" s="908" t="s">
        <v>1402</v>
      </c>
      <c r="C325" s="908" t="s">
        <v>96</v>
      </c>
      <c r="D325" s="910" t="s">
        <v>2050</v>
      </c>
      <c r="E325" s="917">
        <v>8000</v>
      </c>
      <c r="F325" s="908">
        <v>40626145</v>
      </c>
      <c r="G325" s="910" t="s">
        <v>2051</v>
      </c>
      <c r="H325" s="910" t="s">
        <v>1461</v>
      </c>
      <c r="I325" s="911" t="s">
        <v>1406</v>
      </c>
      <c r="J325" s="911" t="s">
        <v>1411</v>
      </c>
      <c r="K325" s="879">
        <v>1</v>
      </c>
      <c r="L325" s="878">
        <v>4</v>
      </c>
      <c r="M325" s="880">
        <v>30933.33</v>
      </c>
      <c r="N325" s="879">
        <v>1</v>
      </c>
      <c r="O325" s="878">
        <v>6</v>
      </c>
      <c r="P325" s="880">
        <v>48000</v>
      </c>
    </row>
    <row r="326" spans="1:16" ht="15.95" customHeight="1">
      <c r="A326" s="924" t="s">
        <v>2732</v>
      </c>
      <c r="B326" s="908" t="s">
        <v>1402</v>
      </c>
      <c r="C326" s="908" t="s">
        <v>96</v>
      </c>
      <c r="D326" s="910" t="s">
        <v>2052</v>
      </c>
      <c r="E326" s="917">
        <v>8000</v>
      </c>
      <c r="F326" s="908">
        <v>6699753</v>
      </c>
      <c r="G326" s="910" t="s">
        <v>2053</v>
      </c>
      <c r="H326" s="910" t="s">
        <v>1547</v>
      </c>
      <c r="I326" s="911" t="s">
        <v>1406</v>
      </c>
      <c r="J326" s="911" t="s">
        <v>1411</v>
      </c>
      <c r="K326" s="879">
        <v>1</v>
      </c>
      <c r="L326" s="878">
        <v>11</v>
      </c>
      <c r="M326" s="880">
        <v>88300</v>
      </c>
      <c r="N326" s="879">
        <v>0</v>
      </c>
      <c r="O326" s="878" t="s">
        <v>2731</v>
      </c>
      <c r="P326" s="880">
        <v>0</v>
      </c>
    </row>
    <row r="327" spans="1:16" ht="15.95" customHeight="1">
      <c r="A327" s="924" t="s">
        <v>2732</v>
      </c>
      <c r="B327" s="908" t="s">
        <v>1402</v>
      </c>
      <c r="C327" s="908" t="s">
        <v>96</v>
      </c>
      <c r="D327" s="910" t="s">
        <v>1918</v>
      </c>
      <c r="E327" s="917">
        <v>15600</v>
      </c>
      <c r="F327" s="908">
        <v>7939957</v>
      </c>
      <c r="G327" s="910" t="s">
        <v>2054</v>
      </c>
      <c r="H327" s="910" t="s">
        <v>1410</v>
      </c>
      <c r="I327" s="911" t="s">
        <v>1406</v>
      </c>
      <c r="J327" s="911" t="s">
        <v>1411</v>
      </c>
      <c r="K327" s="879">
        <v>1</v>
      </c>
      <c r="L327" s="878">
        <v>7</v>
      </c>
      <c r="M327" s="880">
        <v>115993.33</v>
      </c>
      <c r="N327" s="879">
        <v>0</v>
      </c>
      <c r="O327" s="878" t="s">
        <v>2731</v>
      </c>
      <c r="P327" s="880">
        <v>0</v>
      </c>
    </row>
    <row r="328" spans="1:16" ht="15.95" customHeight="1">
      <c r="A328" s="924" t="s">
        <v>2732</v>
      </c>
      <c r="B328" s="908" t="s">
        <v>1402</v>
      </c>
      <c r="C328" s="908" t="s">
        <v>96</v>
      </c>
      <c r="D328" s="910" t="s">
        <v>2055</v>
      </c>
      <c r="E328" s="917">
        <v>12000</v>
      </c>
      <c r="F328" s="908">
        <v>44763450</v>
      </c>
      <c r="G328" s="910" t="s">
        <v>2056</v>
      </c>
      <c r="H328" s="910" t="s">
        <v>1410</v>
      </c>
      <c r="I328" s="911" t="s">
        <v>1406</v>
      </c>
      <c r="J328" s="911" t="s">
        <v>1411</v>
      </c>
      <c r="K328" s="879">
        <v>1</v>
      </c>
      <c r="L328" s="878">
        <v>12</v>
      </c>
      <c r="M328" s="880">
        <v>144300</v>
      </c>
      <c r="N328" s="879">
        <v>1</v>
      </c>
      <c r="O328" s="878">
        <v>6</v>
      </c>
      <c r="P328" s="880">
        <v>72000</v>
      </c>
    </row>
    <row r="329" spans="1:16" ht="24">
      <c r="A329" s="924" t="s">
        <v>2732</v>
      </c>
      <c r="B329" s="908" t="s">
        <v>1402</v>
      </c>
      <c r="C329" s="908" t="s">
        <v>96</v>
      </c>
      <c r="D329" s="910" t="s">
        <v>2057</v>
      </c>
      <c r="E329" s="917">
        <v>15600</v>
      </c>
      <c r="F329" s="908">
        <v>8174409</v>
      </c>
      <c r="G329" s="910" t="s">
        <v>2058</v>
      </c>
      <c r="H329" s="910" t="s">
        <v>1417</v>
      </c>
      <c r="I329" s="911" t="s">
        <v>1420</v>
      </c>
      <c r="J329" s="911" t="s">
        <v>1411</v>
      </c>
      <c r="K329" s="879">
        <v>0</v>
      </c>
      <c r="L329" s="878" t="s">
        <v>2731</v>
      </c>
      <c r="M329" s="880">
        <v>0</v>
      </c>
      <c r="N329" s="879">
        <v>1</v>
      </c>
      <c r="O329" s="878">
        <v>2</v>
      </c>
      <c r="P329" s="880">
        <v>28600</v>
      </c>
    </row>
    <row r="330" spans="1:16" ht="15.95" customHeight="1">
      <c r="A330" s="924" t="s">
        <v>2732</v>
      </c>
      <c r="B330" s="908" t="s">
        <v>1402</v>
      </c>
      <c r="C330" s="908" t="s">
        <v>96</v>
      </c>
      <c r="D330" s="910" t="s">
        <v>1754</v>
      </c>
      <c r="E330" s="917">
        <v>11000</v>
      </c>
      <c r="F330" s="908">
        <v>70440064</v>
      </c>
      <c r="G330" s="910" t="s">
        <v>2059</v>
      </c>
      <c r="H330" s="910" t="s">
        <v>1410</v>
      </c>
      <c r="I330" s="911" t="s">
        <v>1406</v>
      </c>
      <c r="J330" s="911" t="s">
        <v>1411</v>
      </c>
      <c r="K330" s="879">
        <v>1</v>
      </c>
      <c r="L330" s="878">
        <v>12</v>
      </c>
      <c r="M330" s="880">
        <v>116716.67</v>
      </c>
      <c r="N330" s="879">
        <v>1</v>
      </c>
      <c r="O330" s="878">
        <v>1</v>
      </c>
      <c r="P330" s="880">
        <v>11000</v>
      </c>
    </row>
    <row r="331" spans="1:16" ht="24">
      <c r="A331" s="924" t="s">
        <v>2732</v>
      </c>
      <c r="B331" s="908" t="s">
        <v>1402</v>
      </c>
      <c r="C331" s="908" t="s">
        <v>96</v>
      </c>
      <c r="D331" s="910" t="s">
        <v>2060</v>
      </c>
      <c r="E331" s="917">
        <v>6000</v>
      </c>
      <c r="F331" s="908">
        <v>73246727</v>
      </c>
      <c r="G331" s="910" t="s">
        <v>2061</v>
      </c>
      <c r="H331" s="910" t="s">
        <v>2062</v>
      </c>
      <c r="I331" s="911" t="s">
        <v>1406</v>
      </c>
      <c r="J331" s="911" t="s">
        <v>1411</v>
      </c>
      <c r="K331" s="879">
        <v>1</v>
      </c>
      <c r="L331" s="878">
        <v>12</v>
      </c>
      <c r="M331" s="880">
        <v>72300</v>
      </c>
      <c r="N331" s="879">
        <v>1</v>
      </c>
      <c r="O331" s="878">
        <v>2</v>
      </c>
      <c r="P331" s="880">
        <v>12000</v>
      </c>
    </row>
    <row r="332" spans="1:16" ht="15.95" customHeight="1">
      <c r="A332" s="924" t="s">
        <v>2732</v>
      </c>
      <c r="B332" s="908" t="s">
        <v>1402</v>
      </c>
      <c r="C332" s="908" t="s">
        <v>96</v>
      </c>
      <c r="D332" s="910" t="s">
        <v>2063</v>
      </c>
      <c r="E332" s="917">
        <v>10000</v>
      </c>
      <c r="F332" s="908">
        <v>32775574</v>
      </c>
      <c r="G332" s="910" t="s">
        <v>2064</v>
      </c>
      <c r="H332" s="910" t="s">
        <v>1410</v>
      </c>
      <c r="I332" s="911" t="s">
        <v>1406</v>
      </c>
      <c r="J332" s="911" t="s">
        <v>1411</v>
      </c>
      <c r="K332" s="879">
        <v>1</v>
      </c>
      <c r="L332" s="878">
        <v>8</v>
      </c>
      <c r="M332" s="880">
        <v>74058.960000000006</v>
      </c>
      <c r="N332" s="879">
        <v>0</v>
      </c>
      <c r="O332" s="878" t="s">
        <v>2731</v>
      </c>
      <c r="P332" s="880">
        <v>0</v>
      </c>
    </row>
    <row r="333" spans="1:16" ht="15.95" customHeight="1">
      <c r="A333" s="924" t="s">
        <v>2732</v>
      </c>
      <c r="B333" s="908" t="s">
        <v>1402</v>
      </c>
      <c r="C333" s="908" t="s">
        <v>96</v>
      </c>
      <c r="D333" s="910" t="s">
        <v>1650</v>
      </c>
      <c r="E333" s="917">
        <v>15600</v>
      </c>
      <c r="F333" s="908">
        <v>7856020</v>
      </c>
      <c r="G333" s="910" t="s">
        <v>2065</v>
      </c>
      <c r="H333" s="910" t="s">
        <v>1417</v>
      </c>
      <c r="I333" s="911" t="s">
        <v>1406</v>
      </c>
      <c r="J333" s="911" t="s">
        <v>1411</v>
      </c>
      <c r="K333" s="879">
        <v>1</v>
      </c>
      <c r="L333" s="878">
        <v>5</v>
      </c>
      <c r="M333" s="880">
        <v>85480</v>
      </c>
      <c r="N333" s="879">
        <v>0</v>
      </c>
      <c r="O333" s="878" t="s">
        <v>2731</v>
      </c>
      <c r="P333" s="880">
        <v>0</v>
      </c>
    </row>
    <row r="334" spans="1:16" ht="15.95" customHeight="1">
      <c r="A334" s="924" t="s">
        <v>2732</v>
      </c>
      <c r="B334" s="908" t="s">
        <v>1402</v>
      </c>
      <c r="C334" s="908" t="s">
        <v>96</v>
      </c>
      <c r="D334" s="910" t="s">
        <v>1708</v>
      </c>
      <c r="E334" s="917">
        <v>10500</v>
      </c>
      <c r="F334" s="908">
        <v>41743454</v>
      </c>
      <c r="G334" s="910" t="s">
        <v>2066</v>
      </c>
      <c r="H334" s="910" t="s">
        <v>2067</v>
      </c>
      <c r="I334" s="911" t="s">
        <v>1406</v>
      </c>
      <c r="J334" s="911" t="s">
        <v>1411</v>
      </c>
      <c r="K334" s="879">
        <v>0</v>
      </c>
      <c r="L334" s="878" t="s">
        <v>2731</v>
      </c>
      <c r="M334" s="880">
        <v>0</v>
      </c>
      <c r="N334" s="879">
        <v>1</v>
      </c>
      <c r="O334" s="878">
        <v>6</v>
      </c>
      <c r="P334" s="880">
        <v>64750</v>
      </c>
    </row>
    <row r="335" spans="1:16" ht="24">
      <c r="A335" s="924" t="s">
        <v>2732</v>
      </c>
      <c r="B335" s="908" t="s">
        <v>1402</v>
      </c>
      <c r="C335" s="908" t="s">
        <v>96</v>
      </c>
      <c r="D335" s="910" t="s">
        <v>2068</v>
      </c>
      <c r="E335" s="917">
        <v>8000</v>
      </c>
      <c r="F335" s="908">
        <v>42549733</v>
      </c>
      <c r="G335" s="910" t="s">
        <v>2069</v>
      </c>
      <c r="H335" s="910" t="s">
        <v>2070</v>
      </c>
      <c r="I335" s="911" t="s">
        <v>1406</v>
      </c>
      <c r="J335" s="911" t="s">
        <v>1411</v>
      </c>
      <c r="K335" s="879">
        <v>1</v>
      </c>
      <c r="L335" s="878">
        <v>12</v>
      </c>
      <c r="M335" s="880">
        <v>95508.88</v>
      </c>
      <c r="N335" s="879">
        <v>1</v>
      </c>
      <c r="O335" s="878">
        <v>1</v>
      </c>
      <c r="P335" s="880">
        <v>7733.33</v>
      </c>
    </row>
    <row r="336" spans="1:16" ht="15.95" customHeight="1">
      <c r="A336" s="924" t="s">
        <v>2732</v>
      </c>
      <c r="B336" s="908" t="s">
        <v>1402</v>
      </c>
      <c r="C336" s="908" t="s">
        <v>96</v>
      </c>
      <c r="D336" s="910" t="s">
        <v>1469</v>
      </c>
      <c r="E336" s="917">
        <v>12000</v>
      </c>
      <c r="F336" s="908">
        <v>10193801</v>
      </c>
      <c r="G336" s="910" t="s">
        <v>2071</v>
      </c>
      <c r="H336" s="910" t="s">
        <v>1471</v>
      </c>
      <c r="I336" s="911" t="s">
        <v>1420</v>
      </c>
      <c r="J336" s="911" t="s">
        <v>1411</v>
      </c>
      <c r="K336" s="879">
        <v>1</v>
      </c>
      <c r="L336" s="878">
        <v>6</v>
      </c>
      <c r="M336" s="880">
        <v>69200</v>
      </c>
      <c r="N336" s="879">
        <v>1</v>
      </c>
      <c r="O336" s="878">
        <v>6</v>
      </c>
      <c r="P336" s="880">
        <v>72000</v>
      </c>
    </row>
    <row r="337" spans="1:16" ht="15.95" customHeight="1">
      <c r="A337" s="924" t="s">
        <v>2732</v>
      </c>
      <c r="B337" s="908" t="s">
        <v>1402</v>
      </c>
      <c r="C337" s="908" t="s">
        <v>96</v>
      </c>
      <c r="D337" s="910" t="s">
        <v>1462</v>
      </c>
      <c r="E337" s="917">
        <v>2000</v>
      </c>
      <c r="F337" s="908">
        <v>15720532</v>
      </c>
      <c r="G337" s="910" t="s">
        <v>2072</v>
      </c>
      <c r="H337" s="910" t="s">
        <v>1620</v>
      </c>
      <c r="I337" s="911" t="s">
        <v>1424</v>
      </c>
      <c r="J337" s="911" t="s">
        <v>1407</v>
      </c>
      <c r="K337" s="879">
        <v>1</v>
      </c>
      <c r="L337" s="878">
        <v>12</v>
      </c>
      <c r="M337" s="880">
        <v>24300</v>
      </c>
      <c r="N337" s="879">
        <v>1</v>
      </c>
      <c r="O337" s="878">
        <v>6</v>
      </c>
      <c r="P337" s="880">
        <v>12000</v>
      </c>
    </row>
    <row r="338" spans="1:16" ht="24">
      <c r="A338" s="924" t="s">
        <v>2732</v>
      </c>
      <c r="B338" s="908" t="s">
        <v>1402</v>
      </c>
      <c r="C338" s="908" t="s">
        <v>96</v>
      </c>
      <c r="D338" s="910" t="s">
        <v>2073</v>
      </c>
      <c r="E338" s="917">
        <v>6000</v>
      </c>
      <c r="F338" s="908">
        <v>10313300</v>
      </c>
      <c r="G338" s="910" t="s">
        <v>2074</v>
      </c>
      <c r="H338" s="910" t="s">
        <v>1483</v>
      </c>
      <c r="I338" s="911" t="s">
        <v>1406</v>
      </c>
      <c r="J338" s="911" t="s">
        <v>1411</v>
      </c>
      <c r="K338" s="879">
        <v>1</v>
      </c>
      <c r="L338" s="878">
        <v>12</v>
      </c>
      <c r="M338" s="880">
        <v>71900</v>
      </c>
      <c r="N338" s="879">
        <v>1</v>
      </c>
      <c r="O338" s="878">
        <v>6</v>
      </c>
      <c r="P338" s="880">
        <v>36000</v>
      </c>
    </row>
    <row r="339" spans="1:16" ht="15.95" customHeight="1">
      <c r="A339" s="924" t="s">
        <v>2732</v>
      </c>
      <c r="B339" s="908" t="s">
        <v>1402</v>
      </c>
      <c r="C339" s="908" t="s">
        <v>96</v>
      </c>
      <c r="D339" s="910" t="s">
        <v>1751</v>
      </c>
      <c r="E339" s="917">
        <v>15600</v>
      </c>
      <c r="F339" s="908">
        <v>6169889</v>
      </c>
      <c r="G339" s="910" t="s">
        <v>2075</v>
      </c>
      <c r="H339" s="910" t="s">
        <v>1410</v>
      </c>
      <c r="I339" s="911" t="s">
        <v>1406</v>
      </c>
      <c r="J339" s="911" t="s">
        <v>1411</v>
      </c>
      <c r="K339" s="879">
        <v>1</v>
      </c>
      <c r="L339" s="878">
        <v>12</v>
      </c>
      <c r="M339" s="880">
        <v>180740</v>
      </c>
      <c r="N339" s="879">
        <v>0</v>
      </c>
      <c r="O339" s="878" t="s">
        <v>2731</v>
      </c>
      <c r="P339" s="880">
        <v>0</v>
      </c>
    </row>
    <row r="340" spans="1:16" ht="15.95" customHeight="1">
      <c r="A340" s="924" t="s">
        <v>2732</v>
      </c>
      <c r="B340" s="908" t="s">
        <v>1402</v>
      </c>
      <c r="C340" s="908" t="s">
        <v>96</v>
      </c>
      <c r="D340" s="910" t="s">
        <v>2076</v>
      </c>
      <c r="E340" s="917">
        <v>6000</v>
      </c>
      <c r="F340" s="908">
        <v>71291989</v>
      </c>
      <c r="G340" s="910" t="s">
        <v>2077</v>
      </c>
      <c r="H340" s="910" t="s">
        <v>1423</v>
      </c>
      <c r="I340" s="911" t="s">
        <v>1406</v>
      </c>
      <c r="J340" s="911" t="s">
        <v>1420</v>
      </c>
      <c r="K340" s="879">
        <v>1</v>
      </c>
      <c r="L340" s="878">
        <v>6</v>
      </c>
      <c r="M340" s="880">
        <v>34600</v>
      </c>
      <c r="N340" s="879">
        <v>1</v>
      </c>
      <c r="O340" s="878">
        <v>6</v>
      </c>
      <c r="P340" s="880">
        <v>36000</v>
      </c>
    </row>
    <row r="341" spans="1:16" ht="15.95" customHeight="1">
      <c r="A341" s="924" t="s">
        <v>2732</v>
      </c>
      <c r="B341" s="908" t="s">
        <v>1402</v>
      </c>
      <c r="C341" s="908" t="s">
        <v>96</v>
      </c>
      <c r="D341" s="910" t="s">
        <v>1554</v>
      </c>
      <c r="E341" s="917">
        <v>5000</v>
      </c>
      <c r="F341" s="908">
        <v>8662794</v>
      </c>
      <c r="G341" s="910" t="s">
        <v>2078</v>
      </c>
      <c r="H341" s="910" t="s">
        <v>1477</v>
      </c>
      <c r="I341" s="911" t="s">
        <v>1406</v>
      </c>
      <c r="J341" s="911" t="s">
        <v>1407</v>
      </c>
      <c r="K341" s="879">
        <v>1</v>
      </c>
      <c r="L341" s="878">
        <v>12</v>
      </c>
      <c r="M341" s="880">
        <v>60300</v>
      </c>
      <c r="N341" s="879">
        <v>1</v>
      </c>
      <c r="O341" s="878">
        <v>6</v>
      </c>
      <c r="P341" s="880">
        <v>30000</v>
      </c>
    </row>
    <row r="342" spans="1:16" ht="24">
      <c r="A342" s="924" t="s">
        <v>2732</v>
      </c>
      <c r="B342" s="908" t="s">
        <v>1402</v>
      </c>
      <c r="C342" s="908" t="s">
        <v>96</v>
      </c>
      <c r="D342" s="910" t="s">
        <v>2079</v>
      </c>
      <c r="E342" s="917">
        <v>5500</v>
      </c>
      <c r="F342" s="908">
        <v>7454381</v>
      </c>
      <c r="G342" s="910" t="s">
        <v>2080</v>
      </c>
      <c r="H342" s="910" t="s">
        <v>1417</v>
      </c>
      <c r="I342" s="911" t="s">
        <v>1406</v>
      </c>
      <c r="J342" s="911" t="s">
        <v>1411</v>
      </c>
      <c r="K342" s="879">
        <v>1</v>
      </c>
      <c r="L342" s="878">
        <v>12</v>
      </c>
      <c r="M342" s="880">
        <v>66300</v>
      </c>
      <c r="N342" s="879">
        <v>1</v>
      </c>
      <c r="O342" s="878">
        <v>6</v>
      </c>
      <c r="P342" s="880">
        <v>33000</v>
      </c>
    </row>
    <row r="343" spans="1:16" ht="15.95" customHeight="1">
      <c r="A343" s="924" t="s">
        <v>2732</v>
      </c>
      <c r="B343" s="908" t="s">
        <v>1402</v>
      </c>
      <c r="C343" s="908" t="s">
        <v>96</v>
      </c>
      <c r="D343" s="910" t="s">
        <v>2081</v>
      </c>
      <c r="E343" s="917">
        <v>4500</v>
      </c>
      <c r="F343" s="908">
        <v>70917795</v>
      </c>
      <c r="G343" s="910" t="s">
        <v>2082</v>
      </c>
      <c r="H343" s="910" t="s">
        <v>2083</v>
      </c>
      <c r="I343" s="911" t="s">
        <v>1420</v>
      </c>
      <c r="J343" s="911" t="s">
        <v>1411</v>
      </c>
      <c r="K343" s="879">
        <v>1</v>
      </c>
      <c r="L343" s="878">
        <v>8</v>
      </c>
      <c r="M343" s="880">
        <v>36200</v>
      </c>
      <c r="N343" s="879">
        <v>1</v>
      </c>
      <c r="O343" s="878">
        <v>6</v>
      </c>
      <c r="P343" s="880">
        <v>27000</v>
      </c>
    </row>
    <row r="344" spans="1:16" ht="24">
      <c r="A344" s="924" t="s">
        <v>2732</v>
      </c>
      <c r="B344" s="908" t="s">
        <v>1402</v>
      </c>
      <c r="C344" s="908" t="s">
        <v>96</v>
      </c>
      <c r="D344" s="910" t="s">
        <v>2084</v>
      </c>
      <c r="E344" s="917">
        <v>3500</v>
      </c>
      <c r="F344" s="908">
        <v>7596280</v>
      </c>
      <c r="G344" s="910" t="s">
        <v>2085</v>
      </c>
      <c r="H344" s="910" t="s">
        <v>1560</v>
      </c>
      <c r="I344" s="911" t="s">
        <v>1406</v>
      </c>
      <c r="J344" s="911" t="s">
        <v>1411</v>
      </c>
      <c r="K344" s="879">
        <v>1</v>
      </c>
      <c r="L344" s="878">
        <v>12</v>
      </c>
      <c r="M344" s="880">
        <v>41796</v>
      </c>
      <c r="N344" s="879">
        <v>1</v>
      </c>
      <c r="O344" s="878">
        <v>6</v>
      </c>
      <c r="P344" s="880">
        <v>21000</v>
      </c>
    </row>
    <row r="345" spans="1:16" ht="24">
      <c r="A345" s="924" t="s">
        <v>2732</v>
      </c>
      <c r="B345" s="908" t="s">
        <v>1402</v>
      </c>
      <c r="C345" s="908" t="s">
        <v>96</v>
      </c>
      <c r="D345" s="910" t="s">
        <v>2086</v>
      </c>
      <c r="E345" s="917">
        <v>6000</v>
      </c>
      <c r="F345" s="908">
        <v>40568093</v>
      </c>
      <c r="G345" s="910" t="s">
        <v>2087</v>
      </c>
      <c r="H345" s="910" t="s">
        <v>1458</v>
      </c>
      <c r="I345" s="911" t="s">
        <v>1406</v>
      </c>
      <c r="J345" s="911" t="s">
        <v>1411</v>
      </c>
      <c r="K345" s="879">
        <v>1</v>
      </c>
      <c r="L345" s="878">
        <v>12</v>
      </c>
      <c r="M345" s="880">
        <v>71900</v>
      </c>
      <c r="N345" s="879">
        <v>1</v>
      </c>
      <c r="O345" s="878">
        <v>6</v>
      </c>
      <c r="P345" s="880">
        <v>36000</v>
      </c>
    </row>
    <row r="346" spans="1:16" ht="15.95" customHeight="1">
      <c r="A346" s="924" t="s">
        <v>2732</v>
      </c>
      <c r="B346" s="908" t="s">
        <v>1402</v>
      </c>
      <c r="C346" s="908" t="s">
        <v>96</v>
      </c>
      <c r="D346" s="910" t="s">
        <v>2088</v>
      </c>
      <c r="E346" s="917">
        <v>7000</v>
      </c>
      <c r="F346" s="908">
        <v>32888595</v>
      </c>
      <c r="G346" s="910" t="s">
        <v>2089</v>
      </c>
      <c r="H346" s="910" t="s">
        <v>1423</v>
      </c>
      <c r="I346" s="911" t="s">
        <v>1406</v>
      </c>
      <c r="J346" s="911" t="s">
        <v>1420</v>
      </c>
      <c r="K346" s="879">
        <v>1</v>
      </c>
      <c r="L346" s="878">
        <v>2</v>
      </c>
      <c r="M346" s="880">
        <v>15400</v>
      </c>
      <c r="N346" s="879">
        <v>1</v>
      </c>
      <c r="O346" s="878">
        <v>6</v>
      </c>
      <c r="P346" s="880">
        <v>41097.770000000004</v>
      </c>
    </row>
    <row r="347" spans="1:16">
      <c r="A347" s="924" t="s">
        <v>2732</v>
      </c>
      <c r="B347" s="908" t="s">
        <v>1402</v>
      </c>
      <c r="C347" s="908" t="s">
        <v>96</v>
      </c>
      <c r="D347" s="910" t="s">
        <v>2090</v>
      </c>
      <c r="E347" s="917">
        <v>12000</v>
      </c>
      <c r="F347" s="908">
        <v>10770477</v>
      </c>
      <c r="G347" s="910" t="s">
        <v>2091</v>
      </c>
      <c r="H347" s="910" t="s">
        <v>1410</v>
      </c>
      <c r="I347" s="911" t="s">
        <v>1406</v>
      </c>
      <c r="J347" s="911" t="s">
        <v>1411</v>
      </c>
      <c r="K347" s="879">
        <v>1</v>
      </c>
      <c r="L347" s="878">
        <v>12</v>
      </c>
      <c r="M347" s="880">
        <v>143900</v>
      </c>
      <c r="N347" s="879">
        <v>1</v>
      </c>
      <c r="O347" s="878">
        <v>6</v>
      </c>
      <c r="P347" s="880">
        <v>72000</v>
      </c>
    </row>
    <row r="348" spans="1:16" ht="24">
      <c r="A348" s="924" t="s">
        <v>2732</v>
      </c>
      <c r="B348" s="908" t="s">
        <v>1402</v>
      </c>
      <c r="C348" s="908" t="s">
        <v>96</v>
      </c>
      <c r="D348" s="910" t="s">
        <v>1846</v>
      </c>
      <c r="E348" s="917">
        <v>15600</v>
      </c>
      <c r="F348" s="908">
        <v>9440062</v>
      </c>
      <c r="G348" s="910" t="s">
        <v>2092</v>
      </c>
      <c r="H348" s="910" t="s">
        <v>1519</v>
      </c>
      <c r="I348" s="911" t="s">
        <v>1420</v>
      </c>
      <c r="J348" s="911" t="s">
        <v>1411</v>
      </c>
      <c r="K348" s="879">
        <v>1</v>
      </c>
      <c r="L348" s="878">
        <v>2</v>
      </c>
      <c r="M348" s="880">
        <v>9880</v>
      </c>
      <c r="N348" s="879">
        <v>0</v>
      </c>
      <c r="O348" s="878" t="s">
        <v>2731</v>
      </c>
      <c r="P348" s="880">
        <v>0</v>
      </c>
    </row>
    <row r="349" spans="1:16" ht="15.95" customHeight="1">
      <c r="A349" s="924" t="s">
        <v>2732</v>
      </c>
      <c r="B349" s="908" t="s">
        <v>1402</v>
      </c>
      <c r="C349" s="908" t="s">
        <v>96</v>
      </c>
      <c r="D349" s="910" t="s">
        <v>1408</v>
      </c>
      <c r="E349" s="917">
        <v>8000</v>
      </c>
      <c r="F349" s="908">
        <v>45385169</v>
      </c>
      <c r="G349" s="910" t="s">
        <v>2093</v>
      </c>
      <c r="H349" s="910" t="s">
        <v>1410</v>
      </c>
      <c r="I349" s="911" t="s">
        <v>1406</v>
      </c>
      <c r="J349" s="911" t="s">
        <v>1411</v>
      </c>
      <c r="K349" s="879">
        <v>1</v>
      </c>
      <c r="L349" s="878">
        <v>12</v>
      </c>
      <c r="M349" s="880">
        <v>96158.33</v>
      </c>
      <c r="N349" s="879">
        <v>1</v>
      </c>
      <c r="O349" s="878">
        <v>6</v>
      </c>
      <c r="P349" s="880">
        <v>48000</v>
      </c>
    </row>
    <row r="350" spans="1:16" ht="15.95" customHeight="1">
      <c r="A350" s="924" t="s">
        <v>2732</v>
      </c>
      <c r="B350" s="908" t="s">
        <v>1402</v>
      </c>
      <c r="C350" s="908" t="s">
        <v>96</v>
      </c>
      <c r="D350" s="910" t="s">
        <v>2094</v>
      </c>
      <c r="E350" s="917">
        <v>9000</v>
      </c>
      <c r="F350" s="908">
        <v>42088876</v>
      </c>
      <c r="G350" s="910" t="s">
        <v>2095</v>
      </c>
      <c r="H350" s="910" t="s">
        <v>1488</v>
      </c>
      <c r="I350" s="911" t="s">
        <v>1406</v>
      </c>
      <c r="J350" s="911" t="s">
        <v>1411</v>
      </c>
      <c r="K350" s="879">
        <v>0</v>
      </c>
      <c r="L350" s="878" t="s">
        <v>2731</v>
      </c>
      <c r="M350" s="880">
        <v>0</v>
      </c>
      <c r="N350" s="879">
        <v>1</v>
      </c>
      <c r="O350" s="878">
        <v>2</v>
      </c>
      <c r="P350" s="880">
        <v>22500</v>
      </c>
    </row>
    <row r="351" spans="1:16" ht="24">
      <c r="A351" s="924" t="s">
        <v>2732</v>
      </c>
      <c r="B351" s="908" t="s">
        <v>1402</v>
      </c>
      <c r="C351" s="908" t="s">
        <v>96</v>
      </c>
      <c r="D351" s="910" t="s">
        <v>2096</v>
      </c>
      <c r="E351" s="917">
        <v>7000</v>
      </c>
      <c r="F351" s="908">
        <v>26729003</v>
      </c>
      <c r="G351" s="910" t="s">
        <v>2097</v>
      </c>
      <c r="H351" s="910" t="s">
        <v>2098</v>
      </c>
      <c r="I351" s="911" t="s">
        <v>1406</v>
      </c>
      <c r="J351" s="911" t="s">
        <v>1407</v>
      </c>
      <c r="K351" s="879">
        <v>1</v>
      </c>
      <c r="L351" s="878">
        <v>12</v>
      </c>
      <c r="M351" s="880">
        <v>84300</v>
      </c>
      <c r="N351" s="879">
        <v>1</v>
      </c>
      <c r="O351" s="878">
        <v>6</v>
      </c>
      <c r="P351" s="880">
        <v>42000</v>
      </c>
    </row>
    <row r="352" spans="1:16" ht="24">
      <c r="A352" s="924" t="s">
        <v>2732</v>
      </c>
      <c r="B352" s="908" t="s">
        <v>1402</v>
      </c>
      <c r="C352" s="908" t="s">
        <v>96</v>
      </c>
      <c r="D352" s="910" t="s">
        <v>2099</v>
      </c>
      <c r="E352" s="917">
        <v>9000</v>
      </c>
      <c r="F352" s="908">
        <v>8695327</v>
      </c>
      <c r="G352" s="910" t="s">
        <v>2100</v>
      </c>
      <c r="H352" s="910" t="s">
        <v>1509</v>
      </c>
      <c r="I352" s="911" t="s">
        <v>1406</v>
      </c>
      <c r="J352" s="911" t="s">
        <v>1411</v>
      </c>
      <c r="K352" s="879">
        <v>0</v>
      </c>
      <c r="L352" s="878" t="s">
        <v>2731</v>
      </c>
      <c r="M352" s="880">
        <v>0</v>
      </c>
      <c r="N352" s="879">
        <v>1</v>
      </c>
      <c r="O352" s="878">
        <v>6</v>
      </c>
      <c r="P352" s="880">
        <v>55500</v>
      </c>
    </row>
    <row r="353" spans="1:16" ht="15.95" customHeight="1">
      <c r="A353" s="924" t="s">
        <v>2732</v>
      </c>
      <c r="B353" s="908" t="s">
        <v>1402</v>
      </c>
      <c r="C353" s="908" t="s">
        <v>96</v>
      </c>
      <c r="D353" s="910" t="s">
        <v>2048</v>
      </c>
      <c r="E353" s="917">
        <v>5000</v>
      </c>
      <c r="F353" s="908">
        <v>43786004</v>
      </c>
      <c r="G353" s="910" t="s">
        <v>2101</v>
      </c>
      <c r="H353" s="910" t="s">
        <v>1455</v>
      </c>
      <c r="I353" s="911" t="s">
        <v>1406</v>
      </c>
      <c r="J353" s="911" t="s">
        <v>1420</v>
      </c>
      <c r="K353" s="879">
        <v>1</v>
      </c>
      <c r="L353" s="878">
        <v>1</v>
      </c>
      <c r="M353" s="880">
        <v>4333.33</v>
      </c>
      <c r="N353" s="879">
        <v>1</v>
      </c>
      <c r="O353" s="878">
        <v>6</v>
      </c>
      <c r="P353" s="880">
        <v>30000</v>
      </c>
    </row>
    <row r="354" spans="1:16" ht="15.95" customHeight="1">
      <c r="A354" s="924" t="s">
        <v>2732</v>
      </c>
      <c r="B354" s="908" t="s">
        <v>1402</v>
      </c>
      <c r="C354" s="908" t="s">
        <v>96</v>
      </c>
      <c r="D354" s="910" t="s">
        <v>2048</v>
      </c>
      <c r="E354" s="917">
        <v>5000</v>
      </c>
      <c r="F354" s="908">
        <v>43786004</v>
      </c>
      <c r="G354" s="910" t="s">
        <v>2101</v>
      </c>
      <c r="H354" s="910" t="s">
        <v>1455</v>
      </c>
      <c r="I354" s="911" t="s">
        <v>1406</v>
      </c>
      <c r="J354" s="911" t="s">
        <v>1420</v>
      </c>
      <c r="K354" s="879">
        <v>1</v>
      </c>
      <c r="L354" s="878">
        <v>1</v>
      </c>
      <c r="M354" s="880">
        <v>4333.33</v>
      </c>
      <c r="N354" s="879">
        <v>1</v>
      </c>
      <c r="O354" s="878">
        <v>6</v>
      </c>
      <c r="P354" s="880">
        <v>30000</v>
      </c>
    </row>
    <row r="355" spans="1:16" ht="15.95" customHeight="1">
      <c r="A355" s="924" t="s">
        <v>2732</v>
      </c>
      <c r="B355" s="908" t="s">
        <v>1402</v>
      </c>
      <c r="C355" s="908" t="s">
        <v>96</v>
      </c>
      <c r="D355" s="910" t="s">
        <v>2102</v>
      </c>
      <c r="E355" s="917">
        <v>6000</v>
      </c>
      <c r="F355" s="908">
        <v>40086911</v>
      </c>
      <c r="G355" s="910" t="s">
        <v>2103</v>
      </c>
      <c r="H355" s="910" t="s">
        <v>2104</v>
      </c>
      <c r="I355" s="911" t="s">
        <v>1420</v>
      </c>
      <c r="J355" s="911" t="s">
        <v>1411</v>
      </c>
      <c r="K355" s="879">
        <v>1</v>
      </c>
      <c r="L355" s="878">
        <v>12</v>
      </c>
      <c r="M355" s="880">
        <v>72300</v>
      </c>
      <c r="N355" s="879">
        <v>1</v>
      </c>
      <c r="O355" s="878">
        <v>6</v>
      </c>
      <c r="P355" s="880">
        <v>36000</v>
      </c>
    </row>
    <row r="356" spans="1:16" ht="24">
      <c r="A356" s="924" t="s">
        <v>2732</v>
      </c>
      <c r="B356" s="908" t="s">
        <v>1402</v>
      </c>
      <c r="C356" s="908" t="s">
        <v>96</v>
      </c>
      <c r="D356" s="910" t="s">
        <v>2105</v>
      </c>
      <c r="E356" s="917">
        <v>7500</v>
      </c>
      <c r="F356" s="908">
        <v>510402</v>
      </c>
      <c r="G356" s="910" t="s">
        <v>2106</v>
      </c>
      <c r="H356" s="910" t="s">
        <v>1448</v>
      </c>
      <c r="I356" s="911" t="s">
        <v>1406</v>
      </c>
      <c r="J356" s="911" t="s">
        <v>1411</v>
      </c>
      <c r="K356" s="879">
        <v>1</v>
      </c>
      <c r="L356" s="878">
        <v>12</v>
      </c>
      <c r="M356" s="880">
        <v>90300</v>
      </c>
      <c r="N356" s="879">
        <v>1</v>
      </c>
      <c r="O356" s="878">
        <v>6</v>
      </c>
      <c r="P356" s="880">
        <v>45000</v>
      </c>
    </row>
    <row r="357" spans="1:16" ht="15.95" customHeight="1">
      <c r="A357" s="924" t="s">
        <v>2732</v>
      </c>
      <c r="B357" s="908" t="s">
        <v>1402</v>
      </c>
      <c r="C357" s="908" t="s">
        <v>96</v>
      </c>
      <c r="D357" s="910" t="s">
        <v>2107</v>
      </c>
      <c r="E357" s="917">
        <v>8000</v>
      </c>
      <c r="F357" s="908">
        <v>41378797</v>
      </c>
      <c r="G357" s="910" t="s">
        <v>2108</v>
      </c>
      <c r="H357" s="910" t="s">
        <v>1414</v>
      </c>
      <c r="I357" s="911" t="s">
        <v>1406</v>
      </c>
      <c r="J357" s="911" t="s">
        <v>1420</v>
      </c>
      <c r="K357" s="879">
        <v>1</v>
      </c>
      <c r="L357" s="878">
        <v>4</v>
      </c>
      <c r="M357" s="880">
        <v>30592.190000000002</v>
      </c>
      <c r="N357" s="879">
        <v>1</v>
      </c>
      <c r="O357" s="878">
        <v>6</v>
      </c>
      <c r="P357" s="880">
        <v>48000</v>
      </c>
    </row>
    <row r="358" spans="1:16" ht="15.95" customHeight="1">
      <c r="A358" s="924" t="s">
        <v>2732</v>
      </c>
      <c r="B358" s="908" t="s">
        <v>1402</v>
      </c>
      <c r="C358" s="908" t="s">
        <v>96</v>
      </c>
      <c r="D358" s="910" t="s">
        <v>1554</v>
      </c>
      <c r="E358" s="917">
        <v>3800</v>
      </c>
      <c r="F358" s="908">
        <v>10145966</v>
      </c>
      <c r="G358" s="910" t="s">
        <v>2109</v>
      </c>
      <c r="H358" s="910" t="s">
        <v>1590</v>
      </c>
      <c r="I358" s="911" t="s">
        <v>1406</v>
      </c>
      <c r="J358" s="911" t="s">
        <v>1407</v>
      </c>
      <c r="K358" s="879">
        <v>1</v>
      </c>
      <c r="L358" s="878">
        <v>12</v>
      </c>
      <c r="M358" s="880">
        <v>45600.22</v>
      </c>
      <c r="N358" s="879">
        <v>1</v>
      </c>
      <c r="O358" s="878">
        <v>6</v>
      </c>
      <c r="P358" s="880">
        <v>22800</v>
      </c>
    </row>
    <row r="359" spans="1:16" ht="15.95" customHeight="1">
      <c r="A359" s="924" t="s">
        <v>2732</v>
      </c>
      <c r="B359" s="908" t="s">
        <v>1402</v>
      </c>
      <c r="C359" s="908" t="s">
        <v>96</v>
      </c>
      <c r="D359" s="910" t="s">
        <v>1440</v>
      </c>
      <c r="E359" s="917">
        <v>6000</v>
      </c>
      <c r="F359" s="908">
        <v>43885380</v>
      </c>
      <c r="G359" s="910" t="s">
        <v>2110</v>
      </c>
      <c r="H359" s="910" t="s">
        <v>1884</v>
      </c>
      <c r="I359" s="911" t="s">
        <v>1406</v>
      </c>
      <c r="J359" s="911" t="s">
        <v>1420</v>
      </c>
      <c r="K359" s="879">
        <v>1</v>
      </c>
      <c r="L359" s="878">
        <v>6</v>
      </c>
      <c r="M359" s="880">
        <v>34600</v>
      </c>
      <c r="N359" s="879">
        <v>1</v>
      </c>
      <c r="O359" s="878">
        <v>6</v>
      </c>
      <c r="P359" s="880">
        <v>36000</v>
      </c>
    </row>
    <row r="360" spans="1:16" ht="24">
      <c r="A360" s="924" t="s">
        <v>2732</v>
      </c>
      <c r="B360" s="908" t="s">
        <v>1402</v>
      </c>
      <c r="C360" s="908" t="s">
        <v>96</v>
      </c>
      <c r="D360" s="910" t="s">
        <v>2111</v>
      </c>
      <c r="E360" s="917">
        <v>9500</v>
      </c>
      <c r="F360" s="908">
        <v>9189566</v>
      </c>
      <c r="G360" s="910" t="s">
        <v>2112</v>
      </c>
      <c r="H360" s="910" t="s">
        <v>1448</v>
      </c>
      <c r="I360" s="911" t="s">
        <v>1406</v>
      </c>
      <c r="J360" s="911" t="s">
        <v>1411</v>
      </c>
      <c r="K360" s="879">
        <v>1</v>
      </c>
      <c r="L360" s="878">
        <v>12</v>
      </c>
      <c r="M360" s="880">
        <v>114300</v>
      </c>
      <c r="N360" s="879">
        <v>1</v>
      </c>
      <c r="O360" s="878">
        <v>6</v>
      </c>
      <c r="P360" s="880">
        <v>57000</v>
      </c>
    </row>
    <row r="361" spans="1:16" ht="15.95" customHeight="1">
      <c r="A361" s="924" t="s">
        <v>2732</v>
      </c>
      <c r="B361" s="908" t="s">
        <v>1402</v>
      </c>
      <c r="C361" s="908" t="s">
        <v>96</v>
      </c>
      <c r="D361" s="910" t="s">
        <v>2113</v>
      </c>
      <c r="E361" s="917">
        <v>9000</v>
      </c>
      <c r="F361" s="908">
        <v>18853055</v>
      </c>
      <c r="G361" s="910" t="s">
        <v>2114</v>
      </c>
      <c r="H361" s="910" t="s">
        <v>1410</v>
      </c>
      <c r="I361" s="911" t="s">
        <v>1406</v>
      </c>
      <c r="J361" s="911" t="s">
        <v>1411</v>
      </c>
      <c r="K361" s="879">
        <v>1</v>
      </c>
      <c r="L361" s="878">
        <v>6</v>
      </c>
      <c r="M361" s="880">
        <v>51900</v>
      </c>
      <c r="N361" s="879">
        <v>1</v>
      </c>
      <c r="O361" s="878">
        <v>6</v>
      </c>
      <c r="P361" s="880">
        <v>54000</v>
      </c>
    </row>
    <row r="362" spans="1:16" ht="15.95" customHeight="1">
      <c r="A362" s="924" t="s">
        <v>2732</v>
      </c>
      <c r="B362" s="908" t="s">
        <v>1402</v>
      </c>
      <c r="C362" s="908" t="s">
        <v>96</v>
      </c>
      <c r="D362" s="910" t="s">
        <v>1951</v>
      </c>
      <c r="E362" s="917">
        <v>7000</v>
      </c>
      <c r="F362" s="908">
        <v>40372252</v>
      </c>
      <c r="G362" s="910" t="s">
        <v>2115</v>
      </c>
      <c r="H362" s="910" t="s">
        <v>1670</v>
      </c>
      <c r="I362" s="911" t="s">
        <v>1406</v>
      </c>
      <c r="J362" s="911" t="s">
        <v>1411</v>
      </c>
      <c r="K362" s="879">
        <v>1</v>
      </c>
      <c r="L362" s="878">
        <v>2</v>
      </c>
      <c r="M362" s="880">
        <v>12366.67</v>
      </c>
      <c r="N362" s="879">
        <v>0</v>
      </c>
      <c r="O362" s="878" t="s">
        <v>2731</v>
      </c>
      <c r="P362" s="880">
        <v>0</v>
      </c>
    </row>
    <row r="363" spans="1:16" ht="15.95" customHeight="1">
      <c r="A363" s="924" t="s">
        <v>2732</v>
      </c>
      <c r="B363" s="908" t="s">
        <v>1402</v>
      </c>
      <c r="C363" s="908" t="s">
        <v>96</v>
      </c>
      <c r="D363" s="910" t="s">
        <v>1606</v>
      </c>
      <c r="E363" s="917">
        <v>8000</v>
      </c>
      <c r="F363" s="908">
        <v>5347998</v>
      </c>
      <c r="G363" s="910" t="s">
        <v>2116</v>
      </c>
      <c r="H363" s="910" t="s">
        <v>1461</v>
      </c>
      <c r="I363" s="911" t="s">
        <v>1406</v>
      </c>
      <c r="J363" s="911" t="s">
        <v>1411</v>
      </c>
      <c r="K363" s="879">
        <v>1</v>
      </c>
      <c r="L363" s="878">
        <v>12</v>
      </c>
      <c r="M363" s="880">
        <v>83240</v>
      </c>
      <c r="N363" s="879">
        <v>1</v>
      </c>
      <c r="O363" s="878">
        <v>6</v>
      </c>
      <c r="P363" s="880">
        <v>48000</v>
      </c>
    </row>
    <row r="364" spans="1:16" ht="15.95" customHeight="1">
      <c r="A364" s="924" t="s">
        <v>2732</v>
      </c>
      <c r="B364" s="908" t="s">
        <v>1402</v>
      </c>
      <c r="C364" s="908" t="s">
        <v>96</v>
      </c>
      <c r="D364" s="910" t="s">
        <v>1421</v>
      </c>
      <c r="E364" s="917">
        <v>3400</v>
      </c>
      <c r="F364" s="908">
        <v>3884080</v>
      </c>
      <c r="G364" s="910" t="s">
        <v>2117</v>
      </c>
      <c r="H364" s="910" t="s">
        <v>1560</v>
      </c>
      <c r="I364" s="911" t="s">
        <v>1480</v>
      </c>
      <c r="J364" s="911" t="s">
        <v>1407</v>
      </c>
      <c r="K364" s="879">
        <v>1</v>
      </c>
      <c r="L364" s="878">
        <v>12</v>
      </c>
      <c r="M364" s="880">
        <v>41100</v>
      </c>
      <c r="N364" s="879">
        <v>1</v>
      </c>
      <c r="O364" s="878">
        <v>6</v>
      </c>
      <c r="P364" s="880">
        <v>20400</v>
      </c>
    </row>
    <row r="365" spans="1:16" ht="15.95" customHeight="1">
      <c r="A365" s="924" t="s">
        <v>2732</v>
      </c>
      <c r="B365" s="908" t="s">
        <v>1402</v>
      </c>
      <c r="C365" s="908" t="s">
        <v>96</v>
      </c>
      <c r="D365" s="910" t="s">
        <v>2118</v>
      </c>
      <c r="E365" s="917">
        <v>8000</v>
      </c>
      <c r="F365" s="908">
        <v>44829364</v>
      </c>
      <c r="G365" s="910" t="s">
        <v>2119</v>
      </c>
      <c r="H365" s="910" t="s">
        <v>1423</v>
      </c>
      <c r="I365" s="911" t="s">
        <v>1420</v>
      </c>
      <c r="J365" s="911" t="s">
        <v>1420</v>
      </c>
      <c r="K365" s="879">
        <v>1</v>
      </c>
      <c r="L365" s="878">
        <v>6</v>
      </c>
      <c r="M365" s="880">
        <v>46133.33</v>
      </c>
      <c r="N365" s="879">
        <v>1</v>
      </c>
      <c r="O365" s="878">
        <v>6</v>
      </c>
      <c r="P365" s="880">
        <v>48000</v>
      </c>
    </row>
    <row r="366" spans="1:16" ht="24">
      <c r="A366" s="924" t="s">
        <v>2732</v>
      </c>
      <c r="B366" s="908" t="s">
        <v>1402</v>
      </c>
      <c r="C366" s="908" t="s">
        <v>96</v>
      </c>
      <c r="D366" s="910" t="s">
        <v>1530</v>
      </c>
      <c r="E366" s="917">
        <v>2000</v>
      </c>
      <c r="F366" s="908">
        <v>10177713</v>
      </c>
      <c r="G366" s="910" t="s">
        <v>2120</v>
      </c>
      <c r="H366" s="910" t="s">
        <v>1451</v>
      </c>
      <c r="I366" s="911" t="s">
        <v>1452</v>
      </c>
      <c r="J366" s="911" t="s">
        <v>1451</v>
      </c>
      <c r="K366" s="879">
        <v>1</v>
      </c>
      <c r="L366" s="878">
        <v>3</v>
      </c>
      <c r="M366" s="880">
        <v>6000</v>
      </c>
      <c r="N366" s="879">
        <v>0</v>
      </c>
      <c r="O366" s="878" t="s">
        <v>2731</v>
      </c>
      <c r="P366" s="880">
        <v>0</v>
      </c>
    </row>
    <row r="367" spans="1:16" ht="15.95" customHeight="1">
      <c r="A367" s="924" t="s">
        <v>2732</v>
      </c>
      <c r="B367" s="908" t="s">
        <v>1402</v>
      </c>
      <c r="C367" s="908" t="s">
        <v>96</v>
      </c>
      <c r="D367" s="910" t="s">
        <v>2121</v>
      </c>
      <c r="E367" s="917">
        <v>8000</v>
      </c>
      <c r="F367" s="908">
        <v>43924668</v>
      </c>
      <c r="G367" s="910" t="s">
        <v>2122</v>
      </c>
      <c r="H367" s="910" t="s">
        <v>1445</v>
      </c>
      <c r="I367" s="911" t="s">
        <v>1406</v>
      </c>
      <c r="J367" s="911" t="s">
        <v>1420</v>
      </c>
      <c r="K367" s="879">
        <v>1</v>
      </c>
      <c r="L367" s="878">
        <v>4</v>
      </c>
      <c r="M367" s="880">
        <v>30933.33</v>
      </c>
      <c r="N367" s="879">
        <v>1</v>
      </c>
      <c r="O367" s="878">
        <v>6</v>
      </c>
      <c r="P367" s="880">
        <v>48000</v>
      </c>
    </row>
    <row r="368" spans="1:16" ht="15.95" customHeight="1">
      <c r="A368" s="924" t="s">
        <v>2732</v>
      </c>
      <c r="B368" s="908" t="s">
        <v>1402</v>
      </c>
      <c r="C368" s="908" t="s">
        <v>96</v>
      </c>
      <c r="D368" s="910" t="s">
        <v>2123</v>
      </c>
      <c r="E368" s="917">
        <v>8500</v>
      </c>
      <c r="F368" s="908">
        <v>8142465</v>
      </c>
      <c r="G368" s="910" t="s">
        <v>2124</v>
      </c>
      <c r="H368" s="910" t="s">
        <v>1442</v>
      </c>
      <c r="I368" s="911" t="s">
        <v>1406</v>
      </c>
      <c r="J368" s="911" t="s">
        <v>1411</v>
      </c>
      <c r="K368" s="879">
        <v>1</v>
      </c>
      <c r="L368" s="878">
        <v>12</v>
      </c>
      <c r="M368" s="880">
        <v>102300</v>
      </c>
      <c r="N368" s="879">
        <v>1</v>
      </c>
      <c r="O368" s="878">
        <v>6</v>
      </c>
      <c r="P368" s="880">
        <v>51000</v>
      </c>
    </row>
    <row r="369" spans="1:16" ht="15.95" customHeight="1">
      <c r="A369" s="924" t="s">
        <v>2732</v>
      </c>
      <c r="B369" s="908" t="s">
        <v>1402</v>
      </c>
      <c r="C369" s="908" t="s">
        <v>96</v>
      </c>
      <c r="D369" s="910" t="s">
        <v>2125</v>
      </c>
      <c r="E369" s="917">
        <v>6000</v>
      </c>
      <c r="F369" s="908">
        <v>44041199</v>
      </c>
      <c r="G369" s="910" t="s">
        <v>2126</v>
      </c>
      <c r="H369" s="910" t="s">
        <v>1504</v>
      </c>
      <c r="I369" s="911" t="s">
        <v>1406</v>
      </c>
      <c r="J369" s="911" t="s">
        <v>1420</v>
      </c>
      <c r="K369" s="879">
        <v>1</v>
      </c>
      <c r="L369" s="878">
        <v>5</v>
      </c>
      <c r="M369" s="880">
        <v>31400</v>
      </c>
      <c r="N369" s="879">
        <v>1</v>
      </c>
      <c r="O369" s="878">
        <v>6</v>
      </c>
      <c r="P369" s="880">
        <v>36000</v>
      </c>
    </row>
    <row r="370" spans="1:16" ht="15.95" customHeight="1">
      <c r="A370" s="924" t="s">
        <v>2732</v>
      </c>
      <c r="B370" s="908" t="s">
        <v>1402</v>
      </c>
      <c r="C370" s="908" t="s">
        <v>96</v>
      </c>
      <c r="D370" s="910" t="s">
        <v>2127</v>
      </c>
      <c r="E370" s="917">
        <v>6000</v>
      </c>
      <c r="F370" s="908">
        <v>5381892</v>
      </c>
      <c r="G370" s="910" t="s">
        <v>2128</v>
      </c>
      <c r="H370" s="910" t="s">
        <v>1670</v>
      </c>
      <c r="I370" s="911" t="s">
        <v>1406</v>
      </c>
      <c r="J370" s="911" t="s">
        <v>1420</v>
      </c>
      <c r="K370" s="879">
        <v>1</v>
      </c>
      <c r="L370" s="878">
        <v>6</v>
      </c>
      <c r="M370" s="880">
        <v>34600</v>
      </c>
      <c r="N370" s="879">
        <v>0</v>
      </c>
      <c r="O370" s="878" t="s">
        <v>2731</v>
      </c>
      <c r="P370" s="880">
        <v>0</v>
      </c>
    </row>
    <row r="371" spans="1:16" ht="24">
      <c r="A371" s="924" t="s">
        <v>2732</v>
      </c>
      <c r="B371" s="908" t="s">
        <v>1402</v>
      </c>
      <c r="C371" s="908" t="s">
        <v>96</v>
      </c>
      <c r="D371" s="910" t="s">
        <v>2129</v>
      </c>
      <c r="E371" s="917">
        <v>7000</v>
      </c>
      <c r="F371" s="908">
        <v>7525066</v>
      </c>
      <c r="G371" s="910" t="s">
        <v>2130</v>
      </c>
      <c r="H371" s="910" t="s">
        <v>1483</v>
      </c>
      <c r="I371" s="911" t="s">
        <v>1406</v>
      </c>
      <c r="J371" s="911" t="s">
        <v>1420</v>
      </c>
      <c r="K371" s="879">
        <v>1</v>
      </c>
      <c r="L371" s="878">
        <v>4</v>
      </c>
      <c r="M371" s="880">
        <v>27066.67</v>
      </c>
      <c r="N371" s="879">
        <v>1</v>
      </c>
      <c r="O371" s="878">
        <v>6</v>
      </c>
      <c r="P371" s="880">
        <v>42000</v>
      </c>
    </row>
    <row r="372" spans="1:16" ht="15.95" customHeight="1">
      <c r="A372" s="924" t="s">
        <v>2732</v>
      </c>
      <c r="B372" s="908" t="s">
        <v>1402</v>
      </c>
      <c r="C372" s="908" t="s">
        <v>96</v>
      </c>
      <c r="D372" s="910" t="s">
        <v>1696</v>
      </c>
      <c r="E372" s="917">
        <v>8000</v>
      </c>
      <c r="F372" s="908">
        <v>41748155</v>
      </c>
      <c r="G372" s="910" t="s">
        <v>2131</v>
      </c>
      <c r="H372" s="910" t="s">
        <v>2132</v>
      </c>
      <c r="I372" s="911" t="s">
        <v>1406</v>
      </c>
      <c r="J372" s="911" t="s">
        <v>1411</v>
      </c>
      <c r="K372" s="879">
        <v>1</v>
      </c>
      <c r="L372" s="878">
        <v>7</v>
      </c>
      <c r="M372" s="880">
        <v>50166.62</v>
      </c>
      <c r="N372" s="879">
        <v>0</v>
      </c>
      <c r="O372" s="878" t="s">
        <v>2731</v>
      </c>
      <c r="P372" s="880">
        <v>0</v>
      </c>
    </row>
    <row r="373" spans="1:16" ht="15.95" customHeight="1">
      <c r="A373" s="924" t="s">
        <v>2732</v>
      </c>
      <c r="B373" s="908" t="s">
        <v>1402</v>
      </c>
      <c r="C373" s="908" t="s">
        <v>96</v>
      </c>
      <c r="D373" s="910" t="s">
        <v>1464</v>
      </c>
      <c r="E373" s="917">
        <v>6000</v>
      </c>
      <c r="F373" s="908">
        <v>41756548</v>
      </c>
      <c r="G373" s="910" t="s">
        <v>2133</v>
      </c>
      <c r="H373" s="910" t="s">
        <v>2134</v>
      </c>
      <c r="I373" s="911" t="s">
        <v>1406</v>
      </c>
      <c r="J373" s="911" t="s">
        <v>1411</v>
      </c>
      <c r="K373" s="879">
        <v>1</v>
      </c>
      <c r="L373" s="878">
        <v>12</v>
      </c>
      <c r="M373" s="880">
        <v>71123.02</v>
      </c>
      <c r="N373" s="879">
        <v>1</v>
      </c>
      <c r="O373" s="878">
        <v>6</v>
      </c>
      <c r="P373" s="880">
        <v>36000</v>
      </c>
    </row>
    <row r="374" spans="1:16" ht="24">
      <c r="A374" s="924" t="s">
        <v>2732</v>
      </c>
      <c r="B374" s="908" t="s">
        <v>1402</v>
      </c>
      <c r="C374" s="908" t="s">
        <v>96</v>
      </c>
      <c r="D374" s="910" t="s">
        <v>2135</v>
      </c>
      <c r="E374" s="917">
        <v>10000</v>
      </c>
      <c r="F374" s="908">
        <v>43653933</v>
      </c>
      <c r="G374" s="910" t="s">
        <v>2136</v>
      </c>
      <c r="H374" s="910" t="s">
        <v>1943</v>
      </c>
      <c r="I374" s="911" t="s">
        <v>1480</v>
      </c>
      <c r="J374" s="911" t="s">
        <v>1420</v>
      </c>
      <c r="K374" s="879">
        <v>1</v>
      </c>
      <c r="L374" s="878">
        <v>2</v>
      </c>
      <c r="M374" s="880">
        <v>23333.33</v>
      </c>
      <c r="N374" s="879">
        <v>1</v>
      </c>
      <c r="O374" s="878">
        <v>5</v>
      </c>
      <c r="P374" s="880">
        <v>50000</v>
      </c>
    </row>
    <row r="375" spans="1:16" ht="15.95" customHeight="1">
      <c r="A375" s="924" t="s">
        <v>2732</v>
      </c>
      <c r="B375" s="908" t="s">
        <v>1402</v>
      </c>
      <c r="C375" s="908" t="s">
        <v>96</v>
      </c>
      <c r="D375" s="910" t="s">
        <v>2137</v>
      </c>
      <c r="E375" s="917">
        <v>3500</v>
      </c>
      <c r="F375" s="908">
        <v>7462456</v>
      </c>
      <c r="G375" s="910" t="s">
        <v>2138</v>
      </c>
      <c r="H375" s="910" t="s">
        <v>1560</v>
      </c>
      <c r="I375" s="911" t="s">
        <v>1480</v>
      </c>
      <c r="J375" s="911" t="s">
        <v>1411</v>
      </c>
      <c r="K375" s="879">
        <v>1</v>
      </c>
      <c r="L375" s="878">
        <v>12</v>
      </c>
      <c r="M375" s="880">
        <v>42300</v>
      </c>
      <c r="N375" s="879">
        <v>1</v>
      </c>
      <c r="O375" s="878">
        <v>6</v>
      </c>
      <c r="P375" s="880">
        <v>21000</v>
      </c>
    </row>
    <row r="376" spans="1:16" ht="15.95" customHeight="1">
      <c r="A376" s="924" t="s">
        <v>2732</v>
      </c>
      <c r="B376" s="908" t="s">
        <v>1402</v>
      </c>
      <c r="C376" s="908" t="s">
        <v>96</v>
      </c>
      <c r="D376" s="910" t="s">
        <v>1829</v>
      </c>
      <c r="E376" s="917">
        <v>10000</v>
      </c>
      <c r="F376" s="908">
        <v>44589193</v>
      </c>
      <c r="G376" s="910" t="s">
        <v>2139</v>
      </c>
      <c r="H376" s="910" t="s">
        <v>1423</v>
      </c>
      <c r="I376" s="911" t="s">
        <v>1406</v>
      </c>
      <c r="J376" s="911" t="s">
        <v>1411</v>
      </c>
      <c r="K376" s="879">
        <v>1</v>
      </c>
      <c r="L376" s="878">
        <v>12</v>
      </c>
      <c r="M376" s="880">
        <v>120300</v>
      </c>
      <c r="N376" s="879">
        <v>1</v>
      </c>
      <c r="O376" s="878">
        <v>6</v>
      </c>
      <c r="P376" s="880">
        <v>60000</v>
      </c>
    </row>
    <row r="377" spans="1:16" ht="24">
      <c r="A377" s="924" t="s">
        <v>2732</v>
      </c>
      <c r="B377" s="908" t="s">
        <v>1402</v>
      </c>
      <c r="C377" s="908" t="s">
        <v>96</v>
      </c>
      <c r="D377" s="910" t="s">
        <v>2140</v>
      </c>
      <c r="E377" s="917">
        <v>7500</v>
      </c>
      <c r="F377" s="908">
        <v>9605891</v>
      </c>
      <c r="G377" s="910" t="s">
        <v>2141</v>
      </c>
      <c r="H377" s="910" t="s">
        <v>1926</v>
      </c>
      <c r="I377" s="911" t="s">
        <v>1406</v>
      </c>
      <c r="J377" s="911" t="s">
        <v>1411</v>
      </c>
      <c r="K377" s="879">
        <v>1</v>
      </c>
      <c r="L377" s="878">
        <v>12</v>
      </c>
      <c r="M377" s="880">
        <v>89800</v>
      </c>
      <c r="N377" s="879">
        <v>1</v>
      </c>
      <c r="O377" s="878">
        <v>6</v>
      </c>
      <c r="P377" s="880">
        <v>44859.9</v>
      </c>
    </row>
    <row r="378" spans="1:16" ht="24">
      <c r="A378" s="924" t="s">
        <v>2732</v>
      </c>
      <c r="B378" s="908" t="s">
        <v>1402</v>
      </c>
      <c r="C378" s="908" t="s">
        <v>96</v>
      </c>
      <c r="D378" s="910" t="s">
        <v>2142</v>
      </c>
      <c r="E378" s="917">
        <v>9000</v>
      </c>
      <c r="F378" s="908">
        <v>41111254</v>
      </c>
      <c r="G378" s="910" t="s">
        <v>2143</v>
      </c>
      <c r="H378" s="910" t="s">
        <v>1410</v>
      </c>
      <c r="I378" s="911" t="s">
        <v>1420</v>
      </c>
      <c r="J378" s="911" t="s">
        <v>1411</v>
      </c>
      <c r="K378" s="879">
        <v>1</v>
      </c>
      <c r="L378" s="878">
        <v>12</v>
      </c>
      <c r="M378" s="880">
        <v>97870</v>
      </c>
      <c r="N378" s="879">
        <v>1</v>
      </c>
      <c r="O378" s="878">
        <v>6</v>
      </c>
      <c r="P378" s="880">
        <v>54000</v>
      </c>
    </row>
    <row r="379" spans="1:16" ht="15.95" customHeight="1">
      <c r="A379" s="924" t="s">
        <v>2732</v>
      </c>
      <c r="B379" s="908" t="s">
        <v>1402</v>
      </c>
      <c r="C379" s="908" t="s">
        <v>96</v>
      </c>
      <c r="D379" s="910" t="s">
        <v>2144</v>
      </c>
      <c r="E379" s="917">
        <v>6000</v>
      </c>
      <c r="F379" s="908">
        <v>44380455</v>
      </c>
      <c r="G379" s="910" t="s">
        <v>2145</v>
      </c>
      <c r="H379" s="910" t="s">
        <v>1414</v>
      </c>
      <c r="I379" s="911" t="s">
        <v>1406</v>
      </c>
      <c r="J379" s="911" t="s">
        <v>1420</v>
      </c>
      <c r="K379" s="879">
        <v>1</v>
      </c>
      <c r="L379" s="878">
        <v>6</v>
      </c>
      <c r="M379" s="880">
        <v>34200</v>
      </c>
      <c r="N379" s="879">
        <v>1</v>
      </c>
      <c r="O379" s="878">
        <v>6</v>
      </c>
      <c r="P379" s="880">
        <v>35040</v>
      </c>
    </row>
    <row r="380" spans="1:16" ht="15.95" customHeight="1">
      <c r="A380" s="924" t="s">
        <v>2732</v>
      </c>
      <c r="B380" s="908" t="s">
        <v>1402</v>
      </c>
      <c r="C380" s="908" t="s">
        <v>96</v>
      </c>
      <c r="D380" s="910" t="s">
        <v>1751</v>
      </c>
      <c r="E380" s="917">
        <v>15600</v>
      </c>
      <c r="F380" s="908">
        <v>9678987</v>
      </c>
      <c r="G380" s="910" t="s">
        <v>2146</v>
      </c>
      <c r="H380" s="910" t="s">
        <v>1410</v>
      </c>
      <c r="I380" s="911" t="s">
        <v>1420</v>
      </c>
      <c r="J380" s="911" t="s">
        <v>1411</v>
      </c>
      <c r="K380" s="879">
        <v>1</v>
      </c>
      <c r="L380" s="878">
        <v>12</v>
      </c>
      <c r="M380" s="880">
        <v>187500</v>
      </c>
      <c r="N380" s="879">
        <v>1</v>
      </c>
      <c r="O380" s="878">
        <v>2</v>
      </c>
      <c r="P380" s="880">
        <v>21840</v>
      </c>
    </row>
    <row r="381" spans="1:16" ht="15.95" customHeight="1">
      <c r="A381" s="924" t="s">
        <v>2732</v>
      </c>
      <c r="B381" s="908" t="s">
        <v>1402</v>
      </c>
      <c r="C381" s="908" t="s">
        <v>96</v>
      </c>
      <c r="D381" s="910" t="s">
        <v>2147</v>
      </c>
      <c r="E381" s="917">
        <v>6000</v>
      </c>
      <c r="F381" s="908">
        <v>6799553</v>
      </c>
      <c r="G381" s="910" t="s">
        <v>2148</v>
      </c>
      <c r="H381" s="910" t="s">
        <v>1474</v>
      </c>
      <c r="I381" s="911" t="s">
        <v>1406</v>
      </c>
      <c r="J381" s="911" t="s">
        <v>1420</v>
      </c>
      <c r="K381" s="879">
        <v>0</v>
      </c>
      <c r="L381" s="878" t="s">
        <v>2731</v>
      </c>
      <c r="M381" s="880">
        <v>0</v>
      </c>
      <c r="N381" s="879">
        <v>1</v>
      </c>
      <c r="O381" s="878">
        <v>6</v>
      </c>
      <c r="P381" s="880">
        <v>37000</v>
      </c>
    </row>
    <row r="382" spans="1:16" ht="24">
      <c r="A382" s="924" t="s">
        <v>2732</v>
      </c>
      <c r="B382" s="908" t="s">
        <v>1402</v>
      </c>
      <c r="C382" s="908" t="s">
        <v>96</v>
      </c>
      <c r="D382" s="910" t="s">
        <v>2149</v>
      </c>
      <c r="E382" s="917">
        <v>10500</v>
      </c>
      <c r="F382" s="908">
        <v>9485376</v>
      </c>
      <c r="G382" s="910" t="s">
        <v>2150</v>
      </c>
      <c r="H382" s="910" t="s">
        <v>1442</v>
      </c>
      <c r="I382" s="911" t="s">
        <v>1480</v>
      </c>
      <c r="J382" s="911" t="s">
        <v>1411</v>
      </c>
      <c r="K382" s="879">
        <v>1</v>
      </c>
      <c r="L382" s="878">
        <v>12</v>
      </c>
      <c r="M382" s="880">
        <v>126300</v>
      </c>
      <c r="N382" s="879">
        <v>1</v>
      </c>
      <c r="O382" s="878">
        <v>6</v>
      </c>
      <c r="P382" s="880">
        <v>63000</v>
      </c>
    </row>
    <row r="383" spans="1:16" ht="15.95" customHeight="1">
      <c r="A383" s="924" t="s">
        <v>2732</v>
      </c>
      <c r="B383" s="908" t="s">
        <v>1402</v>
      </c>
      <c r="C383" s="908" t="s">
        <v>96</v>
      </c>
      <c r="D383" s="910" t="s">
        <v>2151</v>
      </c>
      <c r="E383" s="917">
        <v>6000</v>
      </c>
      <c r="F383" s="908">
        <v>70693803</v>
      </c>
      <c r="G383" s="910" t="s">
        <v>2152</v>
      </c>
      <c r="H383" s="910" t="s">
        <v>1423</v>
      </c>
      <c r="I383" s="911" t="s">
        <v>1406</v>
      </c>
      <c r="J383" s="911" t="s">
        <v>1420</v>
      </c>
      <c r="K383" s="879">
        <v>1</v>
      </c>
      <c r="L383" s="878">
        <v>6</v>
      </c>
      <c r="M383" s="880">
        <v>34600</v>
      </c>
      <c r="N383" s="879">
        <v>1</v>
      </c>
      <c r="O383" s="878">
        <v>6</v>
      </c>
      <c r="P383" s="880">
        <v>36000</v>
      </c>
    </row>
    <row r="384" spans="1:16" ht="15.95" customHeight="1">
      <c r="A384" s="924" t="s">
        <v>2732</v>
      </c>
      <c r="B384" s="908" t="s">
        <v>1402</v>
      </c>
      <c r="C384" s="908" t="s">
        <v>96</v>
      </c>
      <c r="D384" s="910" t="s">
        <v>2153</v>
      </c>
      <c r="E384" s="917">
        <v>8000</v>
      </c>
      <c r="F384" s="908">
        <v>9378542</v>
      </c>
      <c r="G384" s="910" t="s">
        <v>2154</v>
      </c>
      <c r="H384" s="910" t="s">
        <v>1410</v>
      </c>
      <c r="I384" s="911" t="s">
        <v>1406</v>
      </c>
      <c r="J384" s="911" t="s">
        <v>1411</v>
      </c>
      <c r="K384" s="879">
        <v>1</v>
      </c>
      <c r="L384" s="878">
        <v>12</v>
      </c>
      <c r="M384" s="880">
        <v>96027.95</v>
      </c>
      <c r="N384" s="879">
        <v>1</v>
      </c>
      <c r="O384" s="878">
        <v>6</v>
      </c>
      <c r="P384" s="880">
        <v>48000</v>
      </c>
    </row>
    <row r="385" spans="1:16" ht="24">
      <c r="A385" s="924" t="s">
        <v>2732</v>
      </c>
      <c r="B385" s="908" t="s">
        <v>1402</v>
      </c>
      <c r="C385" s="908" t="s">
        <v>96</v>
      </c>
      <c r="D385" s="910" t="s">
        <v>2016</v>
      </c>
      <c r="E385" s="917">
        <v>3000</v>
      </c>
      <c r="F385" s="908">
        <v>9017638</v>
      </c>
      <c r="G385" s="910" t="s">
        <v>2155</v>
      </c>
      <c r="H385" s="910" t="s">
        <v>1451</v>
      </c>
      <c r="I385" s="911" t="s">
        <v>1452</v>
      </c>
      <c r="J385" s="911" t="s">
        <v>1451</v>
      </c>
      <c r="K385" s="879">
        <v>1</v>
      </c>
      <c r="L385" s="878">
        <v>12</v>
      </c>
      <c r="M385" s="880">
        <v>35520</v>
      </c>
      <c r="N385" s="879">
        <v>1</v>
      </c>
      <c r="O385" s="878">
        <v>6</v>
      </c>
      <c r="P385" s="880">
        <v>17903.330000000002</v>
      </c>
    </row>
    <row r="386" spans="1:16" ht="15.95" customHeight="1">
      <c r="A386" s="924" t="s">
        <v>2732</v>
      </c>
      <c r="B386" s="908" t="s">
        <v>1402</v>
      </c>
      <c r="C386" s="908" t="s">
        <v>96</v>
      </c>
      <c r="D386" s="910" t="s">
        <v>2156</v>
      </c>
      <c r="E386" s="917">
        <v>8500</v>
      </c>
      <c r="F386" s="908">
        <v>40154202</v>
      </c>
      <c r="G386" s="910" t="s">
        <v>2157</v>
      </c>
      <c r="H386" s="910" t="s">
        <v>1414</v>
      </c>
      <c r="I386" s="911" t="s">
        <v>1420</v>
      </c>
      <c r="J386" s="911" t="s">
        <v>1411</v>
      </c>
      <c r="K386" s="879">
        <v>1</v>
      </c>
      <c r="L386" s="878">
        <v>5</v>
      </c>
      <c r="M386" s="880">
        <v>41938.79</v>
      </c>
      <c r="N386" s="879">
        <v>0</v>
      </c>
      <c r="O386" s="878" t="s">
        <v>2731</v>
      </c>
      <c r="P386" s="880">
        <v>0</v>
      </c>
    </row>
    <row r="387" spans="1:16" ht="24">
      <c r="A387" s="924" t="s">
        <v>2732</v>
      </c>
      <c r="B387" s="908" t="s">
        <v>1402</v>
      </c>
      <c r="C387" s="908" t="s">
        <v>96</v>
      </c>
      <c r="D387" s="910" t="s">
        <v>2158</v>
      </c>
      <c r="E387" s="917">
        <v>10500</v>
      </c>
      <c r="F387" s="908">
        <v>43608941</v>
      </c>
      <c r="G387" s="910" t="s">
        <v>2159</v>
      </c>
      <c r="H387" s="910" t="s">
        <v>1504</v>
      </c>
      <c r="I387" s="911" t="s">
        <v>1406</v>
      </c>
      <c r="J387" s="911" t="s">
        <v>1411</v>
      </c>
      <c r="K387" s="879">
        <v>1</v>
      </c>
      <c r="L387" s="878">
        <v>12</v>
      </c>
      <c r="M387" s="880">
        <v>126300</v>
      </c>
      <c r="N387" s="879">
        <v>1</v>
      </c>
      <c r="O387" s="878">
        <v>6</v>
      </c>
      <c r="P387" s="880">
        <v>63000</v>
      </c>
    </row>
    <row r="388" spans="1:16" ht="15.95" customHeight="1">
      <c r="A388" s="924" t="s">
        <v>2732</v>
      </c>
      <c r="B388" s="908" t="s">
        <v>1402</v>
      </c>
      <c r="C388" s="908" t="s">
        <v>96</v>
      </c>
      <c r="D388" s="910" t="s">
        <v>2153</v>
      </c>
      <c r="E388" s="917">
        <v>8000</v>
      </c>
      <c r="F388" s="908">
        <v>10048572</v>
      </c>
      <c r="G388" s="910" t="s">
        <v>2160</v>
      </c>
      <c r="H388" s="910" t="s">
        <v>1410</v>
      </c>
      <c r="I388" s="911" t="s">
        <v>1406</v>
      </c>
      <c r="J388" s="911" t="s">
        <v>1411</v>
      </c>
      <c r="K388" s="879">
        <v>1</v>
      </c>
      <c r="L388" s="878">
        <v>12</v>
      </c>
      <c r="M388" s="880">
        <v>96300</v>
      </c>
      <c r="N388" s="879">
        <v>1</v>
      </c>
      <c r="O388" s="878">
        <v>6</v>
      </c>
      <c r="P388" s="880">
        <v>48000</v>
      </c>
    </row>
    <row r="389" spans="1:16" ht="15.95" customHeight="1">
      <c r="A389" s="924" t="s">
        <v>2732</v>
      </c>
      <c r="B389" s="908" t="s">
        <v>1402</v>
      </c>
      <c r="C389" s="908" t="s">
        <v>96</v>
      </c>
      <c r="D389" s="910" t="s">
        <v>1667</v>
      </c>
      <c r="E389" s="917">
        <v>5000</v>
      </c>
      <c r="F389" s="908">
        <v>9159501</v>
      </c>
      <c r="G389" s="910" t="s">
        <v>2161</v>
      </c>
      <c r="H389" s="910" t="s">
        <v>1978</v>
      </c>
      <c r="I389" s="911" t="s">
        <v>1406</v>
      </c>
      <c r="J389" s="911" t="s">
        <v>1411</v>
      </c>
      <c r="K389" s="879">
        <v>1</v>
      </c>
      <c r="L389" s="878">
        <v>12</v>
      </c>
      <c r="M389" s="880">
        <v>59586.559999999998</v>
      </c>
      <c r="N389" s="879">
        <v>1</v>
      </c>
      <c r="O389" s="878">
        <v>6</v>
      </c>
      <c r="P389" s="880">
        <v>30000</v>
      </c>
    </row>
    <row r="390" spans="1:16" ht="15.95" customHeight="1">
      <c r="A390" s="924" t="s">
        <v>2732</v>
      </c>
      <c r="B390" s="908" t="s">
        <v>1402</v>
      </c>
      <c r="C390" s="908" t="s">
        <v>96</v>
      </c>
      <c r="D390" s="910" t="s">
        <v>1464</v>
      </c>
      <c r="E390" s="917">
        <v>9500</v>
      </c>
      <c r="F390" s="908">
        <v>41410128</v>
      </c>
      <c r="G390" s="910" t="s">
        <v>2162</v>
      </c>
      <c r="H390" s="910" t="s">
        <v>1410</v>
      </c>
      <c r="I390" s="911" t="s">
        <v>1406</v>
      </c>
      <c r="J390" s="911" t="s">
        <v>1411</v>
      </c>
      <c r="K390" s="879">
        <v>1</v>
      </c>
      <c r="L390" s="878">
        <v>12</v>
      </c>
      <c r="M390" s="880">
        <v>114300</v>
      </c>
      <c r="N390" s="879">
        <v>1</v>
      </c>
      <c r="O390" s="878">
        <v>1</v>
      </c>
      <c r="P390" s="880">
        <v>9500</v>
      </c>
    </row>
    <row r="391" spans="1:16" ht="15.95" customHeight="1">
      <c r="A391" s="924" t="s">
        <v>2732</v>
      </c>
      <c r="B391" s="908" t="s">
        <v>1402</v>
      </c>
      <c r="C391" s="908" t="s">
        <v>96</v>
      </c>
      <c r="D391" s="910" t="s">
        <v>1812</v>
      </c>
      <c r="E391" s="917">
        <v>6000</v>
      </c>
      <c r="F391" s="908">
        <v>43002686</v>
      </c>
      <c r="G391" s="910" t="s">
        <v>2163</v>
      </c>
      <c r="H391" s="910" t="s">
        <v>1461</v>
      </c>
      <c r="I391" s="911" t="s">
        <v>1406</v>
      </c>
      <c r="J391" s="911" t="s">
        <v>1420</v>
      </c>
      <c r="K391" s="879">
        <v>1</v>
      </c>
      <c r="L391" s="878">
        <v>4</v>
      </c>
      <c r="M391" s="880">
        <v>23200</v>
      </c>
      <c r="N391" s="879">
        <v>1</v>
      </c>
      <c r="O391" s="878">
        <v>6</v>
      </c>
      <c r="P391" s="880">
        <v>36000</v>
      </c>
    </row>
    <row r="392" spans="1:16" ht="24">
      <c r="A392" s="924" t="s">
        <v>2732</v>
      </c>
      <c r="B392" s="908" t="s">
        <v>1402</v>
      </c>
      <c r="C392" s="908" t="s">
        <v>96</v>
      </c>
      <c r="D392" s="910" t="s">
        <v>2164</v>
      </c>
      <c r="E392" s="917">
        <v>3500</v>
      </c>
      <c r="F392" s="908">
        <v>70437005</v>
      </c>
      <c r="G392" s="910" t="s">
        <v>2165</v>
      </c>
      <c r="H392" s="910" t="s">
        <v>1461</v>
      </c>
      <c r="I392" s="911" t="s">
        <v>1420</v>
      </c>
      <c r="J392" s="911" t="s">
        <v>1411</v>
      </c>
      <c r="K392" s="879">
        <v>1</v>
      </c>
      <c r="L392" s="878">
        <v>6</v>
      </c>
      <c r="M392" s="880">
        <v>20183.330000000002</v>
      </c>
      <c r="N392" s="879">
        <v>1</v>
      </c>
      <c r="O392" s="878">
        <v>6</v>
      </c>
      <c r="P392" s="880">
        <v>21000</v>
      </c>
    </row>
    <row r="393" spans="1:16" ht="24">
      <c r="A393" s="924" t="s">
        <v>2732</v>
      </c>
      <c r="B393" s="908" t="s">
        <v>1402</v>
      </c>
      <c r="C393" s="908" t="s">
        <v>96</v>
      </c>
      <c r="D393" s="910" t="s">
        <v>2166</v>
      </c>
      <c r="E393" s="917">
        <v>4000</v>
      </c>
      <c r="F393" s="908">
        <v>18846504</v>
      </c>
      <c r="G393" s="910" t="s">
        <v>2167</v>
      </c>
      <c r="H393" s="910" t="s">
        <v>1423</v>
      </c>
      <c r="I393" s="911" t="s">
        <v>1452</v>
      </c>
      <c r="J393" s="911" t="s">
        <v>1411</v>
      </c>
      <c r="K393" s="879">
        <v>1</v>
      </c>
      <c r="L393" s="878">
        <v>3</v>
      </c>
      <c r="M393" s="880">
        <v>11733.33</v>
      </c>
      <c r="N393" s="879">
        <v>0</v>
      </c>
      <c r="O393" s="878" t="s">
        <v>2731</v>
      </c>
      <c r="P393" s="880">
        <v>0</v>
      </c>
    </row>
    <row r="394" spans="1:16" ht="24">
      <c r="A394" s="924" t="s">
        <v>2732</v>
      </c>
      <c r="B394" s="908" t="s">
        <v>1402</v>
      </c>
      <c r="C394" s="908" t="s">
        <v>96</v>
      </c>
      <c r="D394" s="910" t="s">
        <v>2168</v>
      </c>
      <c r="E394" s="917">
        <v>7000</v>
      </c>
      <c r="F394" s="908">
        <v>30862267</v>
      </c>
      <c r="G394" s="910" t="s">
        <v>2169</v>
      </c>
      <c r="H394" s="910" t="s">
        <v>1835</v>
      </c>
      <c r="I394" s="911" t="s">
        <v>1406</v>
      </c>
      <c r="J394" s="911" t="s">
        <v>1411</v>
      </c>
      <c r="K394" s="879">
        <v>1</v>
      </c>
      <c r="L394" s="878">
        <v>12</v>
      </c>
      <c r="M394" s="880">
        <v>84300</v>
      </c>
      <c r="N394" s="879">
        <v>1</v>
      </c>
      <c r="O394" s="878">
        <v>6</v>
      </c>
      <c r="P394" s="880">
        <v>42000</v>
      </c>
    </row>
    <row r="395" spans="1:16" ht="15.95" customHeight="1">
      <c r="A395" s="924" t="s">
        <v>2732</v>
      </c>
      <c r="B395" s="908" t="s">
        <v>1402</v>
      </c>
      <c r="C395" s="908" t="s">
        <v>96</v>
      </c>
      <c r="D395" s="910" t="s">
        <v>1816</v>
      </c>
      <c r="E395" s="917">
        <v>10500</v>
      </c>
      <c r="F395" s="908">
        <v>6783309</v>
      </c>
      <c r="G395" s="910" t="s">
        <v>2170</v>
      </c>
      <c r="H395" s="910" t="s">
        <v>1423</v>
      </c>
      <c r="I395" s="911" t="s">
        <v>1406</v>
      </c>
      <c r="J395" s="911" t="s">
        <v>1420</v>
      </c>
      <c r="K395" s="879">
        <v>1</v>
      </c>
      <c r="L395" s="878">
        <v>6</v>
      </c>
      <c r="M395" s="880">
        <v>60550</v>
      </c>
      <c r="N395" s="879">
        <v>1</v>
      </c>
      <c r="O395" s="878">
        <v>6</v>
      </c>
      <c r="P395" s="880">
        <v>62650</v>
      </c>
    </row>
    <row r="396" spans="1:16" ht="24">
      <c r="A396" s="924" t="s">
        <v>2732</v>
      </c>
      <c r="B396" s="908" t="s">
        <v>1402</v>
      </c>
      <c r="C396" s="908" t="s">
        <v>96</v>
      </c>
      <c r="D396" s="910" t="s">
        <v>1967</v>
      </c>
      <c r="E396" s="917">
        <v>10000</v>
      </c>
      <c r="F396" s="908">
        <v>40759038</v>
      </c>
      <c r="G396" s="910" t="s">
        <v>2171</v>
      </c>
      <c r="H396" s="910" t="s">
        <v>1943</v>
      </c>
      <c r="I396" s="911" t="s">
        <v>1406</v>
      </c>
      <c r="J396" s="911" t="s">
        <v>1411</v>
      </c>
      <c r="K396" s="879">
        <v>1</v>
      </c>
      <c r="L396" s="878">
        <v>12</v>
      </c>
      <c r="M396" s="880">
        <v>106256.88</v>
      </c>
      <c r="N396" s="879">
        <v>1</v>
      </c>
      <c r="O396" s="878">
        <v>6</v>
      </c>
      <c r="P396" s="880">
        <v>60000</v>
      </c>
    </row>
    <row r="397" spans="1:16" ht="24">
      <c r="A397" s="924" t="s">
        <v>2732</v>
      </c>
      <c r="B397" s="908" t="s">
        <v>1402</v>
      </c>
      <c r="C397" s="908" t="s">
        <v>96</v>
      </c>
      <c r="D397" s="910" t="s">
        <v>2172</v>
      </c>
      <c r="E397" s="917">
        <v>12500</v>
      </c>
      <c r="F397" s="908">
        <v>40220116</v>
      </c>
      <c r="G397" s="910" t="s">
        <v>2173</v>
      </c>
      <c r="H397" s="910" t="s">
        <v>1410</v>
      </c>
      <c r="I397" s="911" t="s">
        <v>1406</v>
      </c>
      <c r="J397" s="911" t="s">
        <v>1411</v>
      </c>
      <c r="K397" s="879">
        <v>1</v>
      </c>
      <c r="L397" s="878">
        <v>12</v>
      </c>
      <c r="M397" s="880">
        <v>150300</v>
      </c>
      <c r="N397" s="879">
        <v>1</v>
      </c>
      <c r="O397" s="878">
        <v>6</v>
      </c>
      <c r="P397" s="880">
        <v>75000</v>
      </c>
    </row>
    <row r="398" spans="1:16" ht="15.95" customHeight="1">
      <c r="A398" s="924" t="s">
        <v>2732</v>
      </c>
      <c r="B398" s="908" t="s">
        <v>1402</v>
      </c>
      <c r="C398" s="908" t="s">
        <v>96</v>
      </c>
      <c r="D398" s="910" t="s">
        <v>2174</v>
      </c>
      <c r="E398" s="917">
        <v>12000</v>
      </c>
      <c r="F398" s="908">
        <v>10160570</v>
      </c>
      <c r="G398" s="910" t="s">
        <v>2175</v>
      </c>
      <c r="H398" s="910" t="s">
        <v>2104</v>
      </c>
      <c r="I398" s="911" t="s">
        <v>1420</v>
      </c>
      <c r="J398" s="911" t="s">
        <v>1411</v>
      </c>
      <c r="K398" s="879">
        <v>1</v>
      </c>
      <c r="L398" s="878">
        <v>11</v>
      </c>
      <c r="M398" s="880">
        <v>131880</v>
      </c>
      <c r="N398" s="879">
        <v>0</v>
      </c>
      <c r="O398" s="878" t="s">
        <v>2731</v>
      </c>
      <c r="P398" s="880">
        <v>0</v>
      </c>
    </row>
    <row r="399" spans="1:16" ht="15.95" customHeight="1">
      <c r="A399" s="924" t="s">
        <v>2732</v>
      </c>
      <c r="B399" s="908" t="s">
        <v>1402</v>
      </c>
      <c r="C399" s="908" t="s">
        <v>96</v>
      </c>
      <c r="D399" s="910" t="s">
        <v>2176</v>
      </c>
      <c r="E399" s="917">
        <v>4550</v>
      </c>
      <c r="F399" s="908">
        <v>9393087</v>
      </c>
      <c r="G399" s="910" t="s">
        <v>2177</v>
      </c>
      <c r="H399" s="910" t="s">
        <v>2104</v>
      </c>
      <c r="I399" s="911" t="s">
        <v>1406</v>
      </c>
      <c r="J399" s="911" t="s">
        <v>1411</v>
      </c>
      <c r="K399" s="879">
        <v>1</v>
      </c>
      <c r="L399" s="878">
        <v>6</v>
      </c>
      <c r="M399" s="880">
        <v>26996.660000000003</v>
      </c>
      <c r="N399" s="879">
        <v>0</v>
      </c>
      <c r="O399" s="878" t="s">
        <v>2731</v>
      </c>
      <c r="P399" s="880">
        <v>0</v>
      </c>
    </row>
    <row r="400" spans="1:16" ht="24">
      <c r="A400" s="924" t="s">
        <v>2732</v>
      </c>
      <c r="B400" s="908" t="s">
        <v>1402</v>
      </c>
      <c r="C400" s="908" t="s">
        <v>96</v>
      </c>
      <c r="D400" s="910" t="s">
        <v>2178</v>
      </c>
      <c r="E400" s="917">
        <v>4500</v>
      </c>
      <c r="F400" s="908">
        <v>9729378</v>
      </c>
      <c r="G400" s="910" t="s">
        <v>2179</v>
      </c>
      <c r="H400" s="910" t="s">
        <v>1584</v>
      </c>
      <c r="I400" s="911" t="s">
        <v>1406</v>
      </c>
      <c r="J400" s="911" t="s">
        <v>1411</v>
      </c>
      <c r="K400" s="879">
        <v>1</v>
      </c>
      <c r="L400" s="878">
        <v>12</v>
      </c>
      <c r="M400" s="880">
        <v>54300</v>
      </c>
      <c r="N400" s="879">
        <v>1</v>
      </c>
      <c r="O400" s="878">
        <v>6</v>
      </c>
      <c r="P400" s="880">
        <v>26850</v>
      </c>
    </row>
    <row r="401" spans="1:16" ht="24">
      <c r="A401" s="924" t="s">
        <v>2732</v>
      </c>
      <c r="B401" s="908" t="s">
        <v>1402</v>
      </c>
      <c r="C401" s="908" t="s">
        <v>96</v>
      </c>
      <c r="D401" s="910" t="s">
        <v>1502</v>
      </c>
      <c r="E401" s="917">
        <v>11000</v>
      </c>
      <c r="F401" s="908">
        <v>8228566</v>
      </c>
      <c r="G401" s="910" t="s">
        <v>2180</v>
      </c>
      <c r="H401" s="910" t="s">
        <v>1565</v>
      </c>
      <c r="I401" s="911" t="s">
        <v>1406</v>
      </c>
      <c r="J401" s="911" t="s">
        <v>1411</v>
      </c>
      <c r="K401" s="879">
        <v>1</v>
      </c>
      <c r="L401" s="878">
        <v>12</v>
      </c>
      <c r="M401" s="880">
        <v>132300</v>
      </c>
      <c r="N401" s="879">
        <v>1</v>
      </c>
      <c r="O401" s="878">
        <v>6</v>
      </c>
      <c r="P401" s="880">
        <v>66000</v>
      </c>
    </row>
    <row r="402" spans="1:16" ht="15.95" customHeight="1">
      <c r="A402" s="924" t="s">
        <v>2732</v>
      </c>
      <c r="B402" s="908" t="s">
        <v>1402</v>
      </c>
      <c r="C402" s="908" t="s">
        <v>96</v>
      </c>
      <c r="D402" s="910" t="s">
        <v>1598</v>
      </c>
      <c r="E402" s="917">
        <v>11000</v>
      </c>
      <c r="F402" s="908">
        <v>41255446</v>
      </c>
      <c r="G402" s="910" t="s">
        <v>2181</v>
      </c>
      <c r="H402" s="910" t="s">
        <v>1461</v>
      </c>
      <c r="I402" s="911" t="s">
        <v>1406</v>
      </c>
      <c r="J402" s="911" t="s">
        <v>1411</v>
      </c>
      <c r="K402" s="879">
        <v>1</v>
      </c>
      <c r="L402" s="878">
        <v>2</v>
      </c>
      <c r="M402" s="880">
        <v>17233.330000000002</v>
      </c>
      <c r="N402" s="879">
        <v>1</v>
      </c>
      <c r="O402" s="878">
        <v>6</v>
      </c>
      <c r="P402" s="880">
        <v>66000</v>
      </c>
    </row>
    <row r="403" spans="1:16" ht="15.95" customHeight="1">
      <c r="A403" s="924" t="s">
        <v>2732</v>
      </c>
      <c r="B403" s="908" t="s">
        <v>1402</v>
      </c>
      <c r="C403" s="908" t="s">
        <v>96</v>
      </c>
      <c r="D403" s="910" t="s">
        <v>1539</v>
      </c>
      <c r="E403" s="917">
        <v>5000</v>
      </c>
      <c r="F403" s="908">
        <v>72121749</v>
      </c>
      <c r="G403" s="910" t="s">
        <v>2182</v>
      </c>
      <c r="H403" s="910" t="s">
        <v>1565</v>
      </c>
      <c r="I403" s="911" t="s">
        <v>1420</v>
      </c>
      <c r="J403" s="911" t="s">
        <v>1411</v>
      </c>
      <c r="K403" s="879">
        <v>1</v>
      </c>
      <c r="L403" s="878">
        <v>12</v>
      </c>
      <c r="M403" s="880">
        <v>60300</v>
      </c>
      <c r="N403" s="879">
        <v>1</v>
      </c>
      <c r="O403" s="878">
        <v>6</v>
      </c>
      <c r="P403" s="880">
        <v>30000</v>
      </c>
    </row>
    <row r="404" spans="1:16" ht="24">
      <c r="A404" s="924" t="s">
        <v>2732</v>
      </c>
      <c r="B404" s="908" t="s">
        <v>1402</v>
      </c>
      <c r="C404" s="908" t="s">
        <v>96</v>
      </c>
      <c r="D404" s="910" t="s">
        <v>2050</v>
      </c>
      <c r="E404" s="917">
        <v>8000</v>
      </c>
      <c r="F404" s="908">
        <v>40292838</v>
      </c>
      <c r="G404" s="910" t="s">
        <v>2183</v>
      </c>
      <c r="H404" s="910" t="s">
        <v>1471</v>
      </c>
      <c r="I404" s="911" t="s">
        <v>1406</v>
      </c>
      <c r="J404" s="911" t="s">
        <v>1411</v>
      </c>
      <c r="K404" s="879">
        <v>1</v>
      </c>
      <c r="L404" s="878">
        <v>6</v>
      </c>
      <c r="M404" s="880">
        <v>46133.33</v>
      </c>
      <c r="N404" s="879">
        <v>1</v>
      </c>
      <c r="O404" s="878">
        <v>6</v>
      </c>
      <c r="P404" s="880">
        <v>47466.67</v>
      </c>
    </row>
    <row r="405" spans="1:16" ht="15.95" customHeight="1">
      <c r="A405" s="924" t="s">
        <v>2732</v>
      </c>
      <c r="B405" s="908" t="s">
        <v>1402</v>
      </c>
      <c r="C405" s="908" t="s">
        <v>96</v>
      </c>
      <c r="D405" s="910" t="s">
        <v>1675</v>
      </c>
      <c r="E405" s="917">
        <v>15600</v>
      </c>
      <c r="F405" s="908">
        <v>10592524</v>
      </c>
      <c r="G405" s="910" t="s">
        <v>2184</v>
      </c>
      <c r="H405" s="910" t="s">
        <v>1504</v>
      </c>
      <c r="I405" s="911" t="s">
        <v>1406</v>
      </c>
      <c r="J405" s="911" t="s">
        <v>1411</v>
      </c>
      <c r="K405" s="879">
        <v>1</v>
      </c>
      <c r="L405" s="878">
        <v>2</v>
      </c>
      <c r="M405" s="880">
        <v>31200</v>
      </c>
      <c r="N405" s="879">
        <v>0</v>
      </c>
      <c r="O405" s="878" t="s">
        <v>2731</v>
      </c>
      <c r="P405" s="880">
        <v>0</v>
      </c>
    </row>
    <row r="406" spans="1:16" ht="15.95" customHeight="1">
      <c r="A406" s="924" t="s">
        <v>2732</v>
      </c>
      <c r="B406" s="908" t="s">
        <v>1402</v>
      </c>
      <c r="C406" s="908" t="s">
        <v>96</v>
      </c>
      <c r="D406" s="910" t="s">
        <v>1421</v>
      </c>
      <c r="E406" s="917">
        <v>5000</v>
      </c>
      <c r="F406" s="908">
        <v>8805508</v>
      </c>
      <c r="G406" s="910" t="s">
        <v>2185</v>
      </c>
      <c r="H406" s="910" t="s">
        <v>1417</v>
      </c>
      <c r="I406" s="911" t="s">
        <v>1420</v>
      </c>
      <c r="J406" s="911" t="s">
        <v>1411</v>
      </c>
      <c r="K406" s="879">
        <v>1</v>
      </c>
      <c r="L406" s="878">
        <v>12</v>
      </c>
      <c r="M406" s="880">
        <v>59312.619999999995</v>
      </c>
      <c r="N406" s="879">
        <v>1</v>
      </c>
      <c r="O406" s="878">
        <v>6</v>
      </c>
      <c r="P406" s="880">
        <v>29948.959999999999</v>
      </c>
    </row>
    <row r="407" spans="1:16" ht="15.95" customHeight="1">
      <c r="A407" s="924" t="s">
        <v>2732</v>
      </c>
      <c r="B407" s="908" t="s">
        <v>1402</v>
      </c>
      <c r="C407" s="908" t="s">
        <v>96</v>
      </c>
      <c r="D407" s="910" t="s">
        <v>2186</v>
      </c>
      <c r="E407" s="917">
        <v>10000</v>
      </c>
      <c r="F407" s="908">
        <v>41337033</v>
      </c>
      <c r="G407" s="910" t="s">
        <v>2187</v>
      </c>
      <c r="H407" s="910" t="s">
        <v>1943</v>
      </c>
      <c r="I407" s="911" t="s">
        <v>1406</v>
      </c>
      <c r="J407" s="911" t="s">
        <v>1420</v>
      </c>
      <c r="K407" s="879">
        <v>1</v>
      </c>
      <c r="L407" s="878">
        <v>6</v>
      </c>
      <c r="M407" s="880">
        <v>57666.67</v>
      </c>
      <c r="N407" s="879">
        <v>1</v>
      </c>
      <c r="O407" s="878">
        <v>6</v>
      </c>
      <c r="P407" s="880">
        <v>60000</v>
      </c>
    </row>
    <row r="408" spans="1:16" ht="15.95" customHeight="1">
      <c r="A408" s="924" t="s">
        <v>2732</v>
      </c>
      <c r="B408" s="908" t="s">
        <v>1402</v>
      </c>
      <c r="C408" s="908" t="s">
        <v>96</v>
      </c>
      <c r="D408" s="910" t="s">
        <v>1931</v>
      </c>
      <c r="E408" s="917">
        <v>11500</v>
      </c>
      <c r="F408" s="908">
        <v>7633928</v>
      </c>
      <c r="G408" s="910" t="s">
        <v>2188</v>
      </c>
      <c r="H408" s="910" t="s">
        <v>1437</v>
      </c>
      <c r="I408" s="911" t="s">
        <v>1406</v>
      </c>
      <c r="J408" s="911" t="s">
        <v>1411</v>
      </c>
      <c r="K408" s="879">
        <v>1</v>
      </c>
      <c r="L408" s="878">
        <v>6</v>
      </c>
      <c r="M408" s="880">
        <v>65748.06</v>
      </c>
      <c r="N408" s="879">
        <v>0</v>
      </c>
      <c r="O408" s="878" t="s">
        <v>2731</v>
      </c>
      <c r="P408" s="880">
        <v>0</v>
      </c>
    </row>
    <row r="409" spans="1:16" ht="24">
      <c r="A409" s="924" t="s">
        <v>2732</v>
      </c>
      <c r="B409" s="908" t="s">
        <v>1402</v>
      </c>
      <c r="C409" s="908" t="s">
        <v>96</v>
      </c>
      <c r="D409" s="910" t="s">
        <v>2189</v>
      </c>
      <c r="E409" s="917">
        <v>8000</v>
      </c>
      <c r="F409" s="908">
        <v>40207016</v>
      </c>
      <c r="G409" s="910" t="s">
        <v>2190</v>
      </c>
      <c r="H409" s="910" t="s">
        <v>1565</v>
      </c>
      <c r="I409" s="911" t="s">
        <v>1406</v>
      </c>
      <c r="J409" s="911" t="s">
        <v>1420</v>
      </c>
      <c r="K409" s="879">
        <v>1</v>
      </c>
      <c r="L409" s="878">
        <v>6</v>
      </c>
      <c r="M409" s="880">
        <v>46133.33</v>
      </c>
      <c r="N409" s="879">
        <v>1</v>
      </c>
      <c r="O409" s="878">
        <v>6</v>
      </c>
      <c r="P409" s="880">
        <v>48000</v>
      </c>
    </row>
    <row r="410" spans="1:16" ht="24">
      <c r="A410" s="924" t="s">
        <v>2732</v>
      </c>
      <c r="B410" s="908" t="s">
        <v>1402</v>
      </c>
      <c r="C410" s="908" t="s">
        <v>96</v>
      </c>
      <c r="D410" s="910" t="s">
        <v>2191</v>
      </c>
      <c r="E410" s="917">
        <v>6000</v>
      </c>
      <c r="F410" s="908">
        <v>72265989</v>
      </c>
      <c r="G410" s="910" t="s">
        <v>2192</v>
      </c>
      <c r="H410" s="910" t="s">
        <v>1410</v>
      </c>
      <c r="I410" s="911" t="s">
        <v>1420</v>
      </c>
      <c r="J410" s="911" t="s">
        <v>1420</v>
      </c>
      <c r="K410" s="879">
        <v>1</v>
      </c>
      <c r="L410" s="878">
        <v>4</v>
      </c>
      <c r="M410" s="880">
        <v>27800</v>
      </c>
      <c r="N410" s="879">
        <v>1</v>
      </c>
      <c r="O410" s="878">
        <v>6</v>
      </c>
      <c r="P410" s="880">
        <v>36000</v>
      </c>
    </row>
    <row r="411" spans="1:16" ht="15.95" customHeight="1">
      <c r="A411" s="924" t="s">
        <v>2732</v>
      </c>
      <c r="B411" s="908" t="s">
        <v>1402</v>
      </c>
      <c r="C411" s="908" t="s">
        <v>96</v>
      </c>
      <c r="D411" s="910" t="s">
        <v>2193</v>
      </c>
      <c r="E411" s="917">
        <v>11000</v>
      </c>
      <c r="F411" s="908">
        <v>41577327</v>
      </c>
      <c r="G411" s="910" t="s">
        <v>2194</v>
      </c>
      <c r="H411" s="910" t="s">
        <v>1414</v>
      </c>
      <c r="I411" s="911" t="s">
        <v>1406</v>
      </c>
      <c r="J411" s="911" t="s">
        <v>1411</v>
      </c>
      <c r="K411" s="879">
        <v>1</v>
      </c>
      <c r="L411" s="878">
        <v>12</v>
      </c>
      <c r="M411" s="880">
        <v>118633.33</v>
      </c>
      <c r="N411" s="879">
        <v>1</v>
      </c>
      <c r="O411" s="878">
        <v>6</v>
      </c>
      <c r="P411" s="880">
        <v>66000</v>
      </c>
    </row>
    <row r="412" spans="1:16" ht="15.95" customHeight="1">
      <c r="A412" s="924" t="s">
        <v>2732</v>
      </c>
      <c r="B412" s="908" t="s">
        <v>1402</v>
      </c>
      <c r="C412" s="908" t="s">
        <v>96</v>
      </c>
      <c r="D412" s="910" t="s">
        <v>1628</v>
      </c>
      <c r="E412" s="917">
        <v>8000</v>
      </c>
      <c r="F412" s="908">
        <v>23990413</v>
      </c>
      <c r="G412" s="910" t="s">
        <v>2195</v>
      </c>
      <c r="H412" s="910" t="s">
        <v>1471</v>
      </c>
      <c r="I412" s="911" t="s">
        <v>1406</v>
      </c>
      <c r="J412" s="911" t="s">
        <v>1420</v>
      </c>
      <c r="K412" s="879">
        <v>0</v>
      </c>
      <c r="L412" s="878" t="s">
        <v>2731</v>
      </c>
      <c r="M412" s="880">
        <v>0</v>
      </c>
      <c r="N412" s="879">
        <v>1</v>
      </c>
      <c r="O412" s="878">
        <v>6</v>
      </c>
      <c r="P412" s="880">
        <v>49177.770000000004</v>
      </c>
    </row>
    <row r="413" spans="1:16" ht="24">
      <c r="A413" s="924" t="s">
        <v>2732</v>
      </c>
      <c r="B413" s="908" t="s">
        <v>1402</v>
      </c>
      <c r="C413" s="908" t="s">
        <v>96</v>
      </c>
      <c r="D413" s="910" t="s">
        <v>2196</v>
      </c>
      <c r="E413" s="917">
        <v>10000</v>
      </c>
      <c r="F413" s="908">
        <v>43088711</v>
      </c>
      <c r="G413" s="910" t="s">
        <v>2197</v>
      </c>
      <c r="H413" s="910" t="s">
        <v>1410</v>
      </c>
      <c r="I413" s="911" t="s">
        <v>1406</v>
      </c>
      <c r="J413" s="911" t="s">
        <v>1411</v>
      </c>
      <c r="K413" s="879">
        <v>1</v>
      </c>
      <c r="L413" s="878">
        <v>12</v>
      </c>
      <c r="M413" s="880">
        <v>117833.34</v>
      </c>
      <c r="N413" s="879">
        <v>1</v>
      </c>
      <c r="O413" s="878">
        <v>6</v>
      </c>
      <c r="P413" s="880">
        <v>60000</v>
      </c>
    </row>
    <row r="414" spans="1:16" ht="15.95" customHeight="1">
      <c r="A414" s="924" t="s">
        <v>2732</v>
      </c>
      <c r="B414" s="908" t="s">
        <v>1402</v>
      </c>
      <c r="C414" s="908" t="s">
        <v>96</v>
      </c>
      <c r="D414" s="910" t="s">
        <v>2198</v>
      </c>
      <c r="E414" s="917">
        <v>5000</v>
      </c>
      <c r="F414" s="908">
        <v>42760962</v>
      </c>
      <c r="G414" s="910" t="s">
        <v>2199</v>
      </c>
      <c r="H414" s="910" t="s">
        <v>1432</v>
      </c>
      <c r="I414" s="911" t="s">
        <v>1406</v>
      </c>
      <c r="J414" s="911" t="s">
        <v>1407</v>
      </c>
      <c r="K414" s="879">
        <v>1</v>
      </c>
      <c r="L414" s="878">
        <v>12</v>
      </c>
      <c r="M414" s="880">
        <v>59914.58</v>
      </c>
      <c r="N414" s="879">
        <v>1</v>
      </c>
      <c r="O414" s="878">
        <v>6</v>
      </c>
      <c r="P414" s="880">
        <v>29947.919999999998</v>
      </c>
    </row>
    <row r="415" spans="1:16" ht="24">
      <c r="A415" s="924" t="s">
        <v>2732</v>
      </c>
      <c r="B415" s="908" t="s">
        <v>1402</v>
      </c>
      <c r="C415" s="908" t="s">
        <v>96</v>
      </c>
      <c r="D415" s="910" t="s">
        <v>1700</v>
      </c>
      <c r="E415" s="917">
        <v>15600</v>
      </c>
      <c r="F415" s="908">
        <v>17970577</v>
      </c>
      <c r="G415" s="910" t="s">
        <v>2200</v>
      </c>
      <c r="H415" s="910" t="s">
        <v>1417</v>
      </c>
      <c r="I415" s="911" t="s">
        <v>1420</v>
      </c>
      <c r="J415" s="911" t="s">
        <v>1411</v>
      </c>
      <c r="K415" s="879">
        <v>1</v>
      </c>
      <c r="L415" s="878">
        <v>10</v>
      </c>
      <c r="M415" s="880">
        <v>156300</v>
      </c>
      <c r="N415" s="879">
        <v>0</v>
      </c>
      <c r="O415" s="878" t="s">
        <v>2731</v>
      </c>
      <c r="P415" s="880">
        <v>0</v>
      </c>
    </row>
    <row r="416" spans="1:16" ht="24">
      <c r="A416" s="924" t="s">
        <v>2732</v>
      </c>
      <c r="B416" s="908" t="s">
        <v>1402</v>
      </c>
      <c r="C416" s="908" t="s">
        <v>96</v>
      </c>
      <c r="D416" s="910" t="s">
        <v>2201</v>
      </c>
      <c r="E416" s="917">
        <v>2700</v>
      </c>
      <c r="F416" s="908">
        <v>25572798</v>
      </c>
      <c r="G416" s="910" t="s">
        <v>2202</v>
      </c>
      <c r="H416" s="910" t="s">
        <v>1477</v>
      </c>
      <c r="I416" s="911" t="s">
        <v>1420</v>
      </c>
      <c r="J416" s="911" t="s">
        <v>1407</v>
      </c>
      <c r="K416" s="879">
        <v>1</v>
      </c>
      <c r="L416" s="878">
        <v>12</v>
      </c>
      <c r="M416" s="880">
        <v>32095.39</v>
      </c>
      <c r="N416" s="879">
        <v>1</v>
      </c>
      <c r="O416" s="878">
        <v>6</v>
      </c>
      <c r="P416" s="880">
        <v>16200</v>
      </c>
    </row>
    <row r="417" spans="1:16" ht="24">
      <c r="A417" s="924" t="s">
        <v>2732</v>
      </c>
      <c r="B417" s="908" t="s">
        <v>1402</v>
      </c>
      <c r="C417" s="908" t="s">
        <v>96</v>
      </c>
      <c r="D417" s="910" t="s">
        <v>2203</v>
      </c>
      <c r="E417" s="917">
        <v>7500</v>
      </c>
      <c r="F417" s="908">
        <v>25671688</v>
      </c>
      <c r="G417" s="910" t="s">
        <v>2204</v>
      </c>
      <c r="H417" s="910" t="s">
        <v>1414</v>
      </c>
      <c r="I417" s="911" t="s">
        <v>1406</v>
      </c>
      <c r="J417" s="911" t="s">
        <v>1411</v>
      </c>
      <c r="K417" s="879">
        <v>1</v>
      </c>
      <c r="L417" s="878">
        <v>12</v>
      </c>
      <c r="M417" s="880">
        <v>90212.790000000008</v>
      </c>
      <c r="N417" s="879">
        <v>1</v>
      </c>
      <c r="O417" s="878">
        <v>3</v>
      </c>
      <c r="P417" s="880">
        <v>22500</v>
      </c>
    </row>
    <row r="418" spans="1:16" ht="15.95" customHeight="1">
      <c r="A418" s="924" t="s">
        <v>2732</v>
      </c>
      <c r="B418" s="908" t="s">
        <v>1402</v>
      </c>
      <c r="C418" s="908" t="s">
        <v>96</v>
      </c>
      <c r="D418" s="910" t="s">
        <v>1693</v>
      </c>
      <c r="E418" s="917">
        <v>15600</v>
      </c>
      <c r="F418" s="908">
        <v>8216394</v>
      </c>
      <c r="G418" s="910" t="s">
        <v>2205</v>
      </c>
      <c r="H418" s="910" t="s">
        <v>1491</v>
      </c>
      <c r="I418" s="911" t="s">
        <v>1406</v>
      </c>
      <c r="J418" s="911" t="s">
        <v>1411</v>
      </c>
      <c r="K418" s="879">
        <v>1</v>
      </c>
      <c r="L418" s="878">
        <v>10</v>
      </c>
      <c r="M418" s="880">
        <v>143300</v>
      </c>
      <c r="N418" s="879">
        <v>0</v>
      </c>
      <c r="O418" s="878" t="s">
        <v>2731</v>
      </c>
      <c r="P418" s="880">
        <v>0</v>
      </c>
    </row>
    <row r="419" spans="1:16" ht="24">
      <c r="A419" s="924" t="s">
        <v>2732</v>
      </c>
      <c r="B419" s="908" t="s">
        <v>1402</v>
      </c>
      <c r="C419" s="908" t="s">
        <v>96</v>
      </c>
      <c r="D419" s="910" t="s">
        <v>2206</v>
      </c>
      <c r="E419" s="917">
        <v>12000</v>
      </c>
      <c r="F419" s="908">
        <v>16758391</v>
      </c>
      <c r="G419" s="910" t="s">
        <v>2207</v>
      </c>
      <c r="H419" s="910" t="s">
        <v>1442</v>
      </c>
      <c r="I419" s="911" t="s">
        <v>1406</v>
      </c>
      <c r="J419" s="911" t="s">
        <v>1411</v>
      </c>
      <c r="K419" s="879">
        <v>1</v>
      </c>
      <c r="L419" s="878">
        <v>12</v>
      </c>
      <c r="M419" s="880">
        <v>143890</v>
      </c>
      <c r="N419" s="879">
        <v>1</v>
      </c>
      <c r="O419" s="878">
        <v>6</v>
      </c>
      <c r="P419" s="880">
        <v>71213.33</v>
      </c>
    </row>
    <row r="420" spans="1:16" ht="24">
      <c r="A420" s="924" t="s">
        <v>2732</v>
      </c>
      <c r="B420" s="908" t="s">
        <v>1402</v>
      </c>
      <c r="C420" s="908" t="s">
        <v>96</v>
      </c>
      <c r="D420" s="910" t="s">
        <v>2208</v>
      </c>
      <c r="E420" s="917">
        <v>5000</v>
      </c>
      <c r="F420" s="908">
        <v>44041429</v>
      </c>
      <c r="G420" s="910" t="s">
        <v>2209</v>
      </c>
      <c r="H420" s="910" t="s">
        <v>1504</v>
      </c>
      <c r="I420" s="911" t="s">
        <v>1406</v>
      </c>
      <c r="J420" s="911" t="s">
        <v>1420</v>
      </c>
      <c r="K420" s="879">
        <v>1</v>
      </c>
      <c r="L420" s="878">
        <v>4</v>
      </c>
      <c r="M420" s="880">
        <v>19333.330000000002</v>
      </c>
      <c r="N420" s="879">
        <v>1</v>
      </c>
      <c r="O420" s="878">
        <v>6</v>
      </c>
      <c r="P420" s="880">
        <v>30000</v>
      </c>
    </row>
    <row r="421" spans="1:16" ht="15.95" customHeight="1">
      <c r="A421" s="924" t="s">
        <v>2732</v>
      </c>
      <c r="B421" s="908" t="s">
        <v>1402</v>
      </c>
      <c r="C421" s="908" t="s">
        <v>96</v>
      </c>
      <c r="D421" s="910" t="s">
        <v>2210</v>
      </c>
      <c r="E421" s="917">
        <v>3200</v>
      </c>
      <c r="F421" s="908">
        <v>9369623</v>
      </c>
      <c r="G421" s="910" t="s">
        <v>2211</v>
      </c>
      <c r="H421" s="910" t="s">
        <v>1560</v>
      </c>
      <c r="I421" s="911" t="s">
        <v>1480</v>
      </c>
      <c r="J421" s="911" t="s">
        <v>1532</v>
      </c>
      <c r="K421" s="879">
        <v>1</v>
      </c>
      <c r="L421" s="878">
        <v>12</v>
      </c>
      <c r="M421" s="880">
        <v>38700</v>
      </c>
      <c r="N421" s="879">
        <v>1</v>
      </c>
      <c r="O421" s="878">
        <v>6</v>
      </c>
      <c r="P421" s="880">
        <v>19200</v>
      </c>
    </row>
    <row r="422" spans="1:16" ht="15.95" customHeight="1">
      <c r="A422" s="924" t="s">
        <v>2732</v>
      </c>
      <c r="B422" s="908" t="s">
        <v>1402</v>
      </c>
      <c r="C422" s="908" t="s">
        <v>96</v>
      </c>
      <c r="D422" s="910" t="s">
        <v>2212</v>
      </c>
      <c r="E422" s="917">
        <v>14500</v>
      </c>
      <c r="F422" s="908">
        <v>40239581</v>
      </c>
      <c r="G422" s="910" t="s">
        <v>2213</v>
      </c>
      <c r="H422" s="910" t="s">
        <v>1410</v>
      </c>
      <c r="I422" s="911" t="s">
        <v>1406</v>
      </c>
      <c r="J422" s="911" t="s">
        <v>1411</v>
      </c>
      <c r="K422" s="879">
        <v>1</v>
      </c>
      <c r="L422" s="878">
        <v>12</v>
      </c>
      <c r="M422" s="880">
        <v>174300</v>
      </c>
      <c r="N422" s="879">
        <v>1</v>
      </c>
      <c r="O422" s="878">
        <v>6</v>
      </c>
      <c r="P422" s="880">
        <v>87000</v>
      </c>
    </row>
    <row r="423" spans="1:16" ht="24">
      <c r="A423" s="924" t="s">
        <v>2732</v>
      </c>
      <c r="B423" s="908" t="s">
        <v>1402</v>
      </c>
      <c r="C423" s="908" t="s">
        <v>96</v>
      </c>
      <c r="D423" s="910" t="s">
        <v>2214</v>
      </c>
      <c r="E423" s="917">
        <v>7000</v>
      </c>
      <c r="F423" s="908">
        <v>6773103</v>
      </c>
      <c r="G423" s="910" t="s">
        <v>2215</v>
      </c>
      <c r="H423" s="910" t="s">
        <v>2216</v>
      </c>
      <c r="I423" s="911" t="s">
        <v>1420</v>
      </c>
      <c r="J423" s="911" t="s">
        <v>1411</v>
      </c>
      <c r="K423" s="879">
        <v>1</v>
      </c>
      <c r="L423" s="878">
        <v>12</v>
      </c>
      <c r="M423" s="880">
        <v>83390</v>
      </c>
      <c r="N423" s="879">
        <v>1</v>
      </c>
      <c r="O423" s="878">
        <v>6</v>
      </c>
      <c r="P423" s="880">
        <v>41766.67</v>
      </c>
    </row>
    <row r="424" spans="1:16" ht="15.95" customHeight="1">
      <c r="A424" s="924" t="s">
        <v>2732</v>
      </c>
      <c r="B424" s="908" t="s">
        <v>1402</v>
      </c>
      <c r="C424" s="908" t="s">
        <v>96</v>
      </c>
      <c r="D424" s="910" t="s">
        <v>2217</v>
      </c>
      <c r="E424" s="917">
        <v>4800</v>
      </c>
      <c r="F424" s="908">
        <v>40964036</v>
      </c>
      <c r="G424" s="910" t="s">
        <v>2218</v>
      </c>
      <c r="H424" s="910" t="s">
        <v>2219</v>
      </c>
      <c r="I424" s="911" t="s">
        <v>1406</v>
      </c>
      <c r="J424" s="911" t="s">
        <v>1411</v>
      </c>
      <c r="K424" s="879">
        <v>1</v>
      </c>
      <c r="L424" s="878">
        <v>1</v>
      </c>
      <c r="M424" s="880">
        <v>4800</v>
      </c>
      <c r="N424" s="879">
        <v>0</v>
      </c>
      <c r="O424" s="878" t="s">
        <v>2731</v>
      </c>
      <c r="P424" s="880">
        <v>0</v>
      </c>
    </row>
    <row r="425" spans="1:16" ht="24">
      <c r="A425" s="924" t="s">
        <v>2732</v>
      </c>
      <c r="B425" s="908" t="s">
        <v>1402</v>
      </c>
      <c r="C425" s="908" t="s">
        <v>96</v>
      </c>
      <c r="D425" s="910" t="s">
        <v>2220</v>
      </c>
      <c r="E425" s="917">
        <v>8000</v>
      </c>
      <c r="F425" s="908">
        <v>24714924</v>
      </c>
      <c r="G425" s="910" t="s">
        <v>2221</v>
      </c>
      <c r="H425" s="910" t="s">
        <v>1410</v>
      </c>
      <c r="I425" s="911" t="s">
        <v>1406</v>
      </c>
      <c r="J425" s="911" t="s">
        <v>1411</v>
      </c>
      <c r="K425" s="879">
        <v>1</v>
      </c>
      <c r="L425" s="878">
        <v>3</v>
      </c>
      <c r="M425" s="880">
        <v>24466.53</v>
      </c>
      <c r="N425" s="879">
        <v>0</v>
      </c>
      <c r="O425" s="878" t="s">
        <v>2731</v>
      </c>
      <c r="P425" s="880">
        <v>0</v>
      </c>
    </row>
    <row r="426" spans="1:16" ht="15.95" customHeight="1">
      <c r="A426" s="924" t="s">
        <v>2732</v>
      </c>
      <c r="B426" s="908" t="s">
        <v>1402</v>
      </c>
      <c r="C426" s="908" t="s">
        <v>96</v>
      </c>
      <c r="D426" s="910" t="s">
        <v>2222</v>
      </c>
      <c r="E426" s="917">
        <v>9000</v>
      </c>
      <c r="F426" s="908">
        <v>20102066</v>
      </c>
      <c r="G426" s="910" t="s">
        <v>2223</v>
      </c>
      <c r="H426" s="910" t="s">
        <v>1682</v>
      </c>
      <c r="I426" s="911" t="s">
        <v>1406</v>
      </c>
      <c r="J426" s="911" t="s">
        <v>1411</v>
      </c>
      <c r="K426" s="879">
        <v>1</v>
      </c>
      <c r="L426" s="878">
        <v>12</v>
      </c>
      <c r="M426" s="880">
        <v>95733.18</v>
      </c>
      <c r="N426" s="879">
        <v>1</v>
      </c>
      <c r="O426" s="878">
        <v>6</v>
      </c>
      <c r="P426" s="880">
        <v>54000</v>
      </c>
    </row>
    <row r="427" spans="1:16" ht="15.95" customHeight="1">
      <c r="A427" s="924" t="s">
        <v>2732</v>
      </c>
      <c r="B427" s="908" t="s">
        <v>1402</v>
      </c>
      <c r="C427" s="908" t="s">
        <v>96</v>
      </c>
      <c r="D427" s="910" t="s">
        <v>2224</v>
      </c>
      <c r="E427" s="917">
        <v>5500</v>
      </c>
      <c r="F427" s="908">
        <v>45911866</v>
      </c>
      <c r="G427" s="910" t="s">
        <v>2225</v>
      </c>
      <c r="H427" s="910" t="s">
        <v>1455</v>
      </c>
      <c r="I427" s="911" t="s">
        <v>1420</v>
      </c>
      <c r="J427" s="911" t="s">
        <v>1411</v>
      </c>
      <c r="K427" s="879">
        <v>1</v>
      </c>
      <c r="L427" s="878">
        <v>12</v>
      </c>
      <c r="M427" s="880">
        <v>66202.489999999991</v>
      </c>
      <c r="N427" s="879">
        <v>1</v>
      </c>
      <c r="O427" s="878">
        <v>6</v>
      </c>
      <c r="P427" s="880">
        <v>33000</v>
      </c>
    </row>
    <row r="428" spans="1:16" ht="24">
      <c r="A428" s="924" t="s">
        <v>2732</v>
      </c>
      <c r="B428" s="908" t="s">
        <v>1402</v>
      </c>
      <c r="C428" s="908" t="s">
        <v>96</v>
      </c>
      <c r="D428" s="910" t="s">
        <v>1855</v>
      </c>
      <c r="E428" s="917">
        <v>8000</v>
      </c>
      <c r="F428" s="908">
        <v>10609283</v>
      </c>
      <c r="G428" s="910" t="s">
        <v>2226</v>
      </c>
      <c r="H428" s="910" t="s">
        <v>1455</v>
      </c>
      <c r="I428" s="911" t="s">
        <v>1420</v>
      </c>
      <c r="J428" s="911" t="s">
        <v>1420</v>
      </c>
      <c r="K428" s="879">
        <v>1</v>
      </c>
      <c r="L428" s="878">
        <v>6</v>
      </c>
      <c r="M428" s="880">
        <v>46133.33</v>
      </c>
      <c r="N428" s="879">
        <v>1</v>
      </c>
      <c r="O428" s="878">
        <v>1</v>
      </c>
      <c r="P428" s="880">
        <v>8000</v>
      </c>
    </row>
    <row r="429" spans="1:16" ht="15.95" customHeight="1">
      <c r="A429" s="924" t="s">
        <v>2732</v>
      </c>
      <c r="B429" s="908" t="s">
        <v>1402</v>
      </c>
      <c r="C429" s="908" t="s">
        <v>96</v>
      </c>
      <c r="D429" s="910" t="s">
        <v>2227</v>
      </c>
      <c r="E429" s="917">
        <v>6000</v>
      </c>
      <c r="F429" s="908">
        <v>9636193</v>
      </c>
      <c r="G429" s="910" t="s">
        <v>2228</v>
      </c>
      <c r="H429" s="910" t="s">
        <v>2229</v>
      </c>
      <c r="I429" s="911" t="s">
        <v>1420</v>
      </c>
      <c r="J429" s="911" t="s">
        <v>1411</v>
      </c>
      <c r="K429" s="879">
        <v>1</v>
      </c>
      <c r="L429" s="878">
        <v>1</v>
      </c>
      <c r="M429" s="880">
        <v>5200</v>
      </c>
      <c r="N429" s="879">
        <v>0</v>
      </c>
      <c r="O429" s="878" t="s">
        <v>2731</v>
      </c>
      <c r="P429" s="880">
        <v>0</v>
      </c>
    </row>
    <row r="430" spans="1:16" ht="15.95" customHeight="1">
      <c r="A430" s="924" t="s">
        <v>2732</v>
      </c>
      <c r="B430" s="908" t="s">
        <v>1402</v>
      </c>
      <c r="C430" s="908" t="s">
        <v>96</v>
      </c>
      <c r="D430" s="910" t="s">
        <v>2230</v>
      </c>
      <c r="E430" s="917">
        <v>2500</v>
      </c>
      <c r="F430" s="908">
        <v>6267990</v>
      </c>
      <c r="G430" s="910" t="s">
        <v>2231</v>
      </c>
      <c r="H430" s="910" t="s">
        <v>2232</v>
      </c>
      <c r="I430" s="911" t="s">
        <v>1424</v>
      </c>
      <c r="J430" s="911" t="s">
        <v>1679</v>
      </c>
      <c r="K430" s="879">
        <v>1</v>
      </c>
      <c r="L430" s="878">
        <v>12</v>
      </c>
      <c r="M430" s="880">
        <v>61500</v>
      </c>
      <c r="N430" s="879">
        <v>1</v>
      </c>
      <c r="O430" s="878">
        <v>6</v>
      </c>
      <c r="P430" s="880">
        <v>15000</v>
      </c>
    </row>
    <row r="431" spans="1:16" ht="36">
      <c r="A431" s="924" t="s">
        <v>2732</v>
      </c>
      <c r="B431" s="908" t="s">
        <v>1402</v>
      </c>
      <c r="C431" s="908" t="s">
        <v>96</v>
      </c>
      <c r="D431" s="910" t="s">
        <v>2233</v>
      </c>
      <c r="E431" s="917">
        <v>8000</v>
      </c>
      <c r="F431" s="908">
        <v>18215737</v>
      </c>
      <c r="G431" s="910" t="s">
        <v>2234</v>
      </c>
      <c r="H431" s="910" t="s">
        <v>1584</v>
      </c>
      <c r="I431" s="911" t="s">
        <v>1406</v>
      </c>
      <c r="J431" s="911" t="s">
        <v>1411</v>
      </c>
      <c r="K431" s="879">
        <v>1</v>
      </c>
      <c r="L431" s="878">
        <v>4</v>
      </c>
      <c r="M431" s="880">
        <v>31200</v>
      </c>
      <c r="N431" s="879">
        <v>1</v>
      </c>
      <c r="O431" s="878">
        <v>6</v>
      </c>
      <c r="P431" s="880">
        <v>48000</v>
      </c>
    </row>
    <row r="432" spans="1:16" ht="24">
      <c r="A432" s="924" t="s">
        <v>2732</v>
      </c>
      <c r="B432" s="908" t="s">
        <v>1402</v>
      </c>
      <c r="C432" s="908" t="s">
        <v>96</v>
      </c>
      <c r="D432" s="910" t="s">
        <v>2235</v>
      </c>
      <c r="E432" s="917">
        <v>2500</v>
      </c>
      <c r="F432" s="908">
        <v>41205665</v>
      </c>
      <c r="G432" s="910" t="s">
        <v>2236</v>
      </c>
      <c r="H432" s="910" t="s">
        <v>21</v>
      </c>
      <c r="I432" s="911" t="s">
        <v>1452</v>
      </c>
      <c r="J432" s="911" t="s">
        <v>1451</v>
      </c>
      <c r="K432" s="879">
        <v>1</v>
      </c>
      <c r="L432" s="878">
        <v>12</v>
      </c>
      <c r="M432" s="880">
        <v>30300</v>
      </c>
      <c r="N432" s="879">
        <v>1</v>
      </c>
      <c r="O432" s="878">
        <v>6</v>
      </c>
      <c r="P432" s="880">
        <v>12420</v>
      </c>
    </row>
    <row r="433" spans="1:16" ht="15.95" customHeight="1">
      <c r="A433" s="924" t="s">
        <v>2732</v>
      </c>
      <c r="B433" s="908" t="s">
        <v>1402</v>
      </c>
      <c r="C433" s="908" t="s">
        <v>96</v>
      </c>
      <c r="D433" s="910" t="s">
        <v>2237</v>
      </c>
      <c r="E433" s="917">
        <v>6000</v>
      </c>
      <c r="F433" s="908">
        <v>45859748</v>
      </c>
      <c r="G433" s="910" t="s">
        <v>2238</v>
      </c>
      <c r="H433" s="910" t="s">
        <v>1884</v>
      </c>
      <c r="I433" s="911" t="s">
        <v>1406</v>
      </c>
      <c r="J433" s="911" t="s">
        <v>1420</v>
      </c>
      <c r="K433" s="879">
        <v>1</v>
      </c>
      <c r="L433" s="878">
        <v>4</v>
      </c>
      <c r="M433" s="880">
        <v>27800</v>
      </c>
      <c r="N433" s="879">
        <v>1</v>
      </c>
      <c r="O433" s="878">
        <v>6</v>
      </c>
      <c r="P433" s="880">
        <v>36000</v>
      </c>
    </row>
    <row r="434" spans="1:16" ht="15.95" customHeight="1">
      <c r="A434" s="924" t="s">
        <v>2732</v>
      </c>
      <c r="B434" s="908" t="s">
        <v>1402</v>
      </c>
      <c r="C434" s="908" t="s">
        <v>96</v>
      </c>
      <c r="D434" s="910" t="s">
        <v>2239</v>
      </c>
      <c r="E434" s="917">
        <v>6000</v>
      </c>
      <c r="F434" s="908">
        <v>10631048</v>
      </c>
      <c r="G434" s="910" t="s">
        <v>2240</v>
      </c>
      <c r="H434" s="910" t="s">
        <v>1471</v>
      </c>
      <c r="I434" s="911" t="s">
        <v>1406</v>
      </c>
      <c r="J434" s="911" t="s">
        <v>1420</v>
      </c>
      <c r="K434" s="879">
        <v>0</v>
      </c>
      <c r="L434" s="878" t="s">
        <v>2731</v>
      </c>
      <c r="M434" s="880">
        <v>0</v>
      </c>
      <c r="N434" s="879">
        <v>1</v>
      </c>
      <c r="O434" s="878">
        <v>6</v>
      </c>
      <c r="P434" s="880">
        <v>37000</v>
      </c>
    </row>
    <row r="435" spans="1:16" ht="15.95" customHeight="1">
      <c r="A435" s="924" t="s">
        <v>2732</v>
      </c>
      <c r="B435" s="908" t="s">
        <v>1402</v>
      </c>
      <c r="C435" s="908" t="s">
        <v>96</v>
      </c>
      <c r="D435" s="910" t="s">
        <v>1905</v>
      </c>
      <c r="E435" s="917">
        <v>7000</v>
      </c>
      <c r="F435" s="908">
        <v>8146730</v>
      </c>
      <c r="G435" s="910" t="s">
        <v>2241</v>
      </c>
      <c r="H435" s="910" t="s">
        <v>1423</v>
      </c>
      <c r="I435" s="911" t="s">
        <v>1406</v>
      </c>
      <c r="J435" s="911" t="s">
        <v>1420</v>
      </c>
      <c r="K435" s="879">
        <v>1</v>
      </c>
      <c r="L435" s="878">
        <v>6</v>
      </c>
      <c r="M435" s="880">
        <v>40366.67</v>
      </c>
      <c r="N435" s="879">
        <v>1</v>
      </c>
      <c r="O435" s="878">
        <v>6</v>
      </c>
      <c r="P435" s="880">
        <v>42000</v>
      </c>
    </row>
    <row r="436" spans="1:16" ht="15.95" customHeight="1">
      <c r="A436" s="924" t="s">
        <v>2732</v>
      </c>
      <c r="B436" s="908" t="s">
        <v>1402</v>
      </c>
      <c r="C436" s="908" t="s">
        <v>96</v>
      </c>
      <c r="D436" s="910" t="s">
        <v>2242</v>
      </c>
      <c r="E436" s="917">
        <v>3000</v>
      </c>
      <c r="F436" s="908">
        <v>8033840</v>
      </c>
      <c r="G436" s="910" t="s">
        <v>2243</v>
      </c>
      <c r="H436" s="910" t="s">
        <v>1451</v>
      </c>
      <c r="I436" s="911" t="s">
        <v>1424</v>
      </c>
      <c r="J436" s="911" t="s">
        <v>1451</v>
      </c>
      <c r="K436" s="879">
        <v>1</v>
      </c>
      <c r="L436" s="878">
        <v>6</v>
      </c>
      <c r="M436" s="880">
        <v>17300</v>
      </c>
      <c r="N436" s="879">
        <v>1</v>
      </c>
      <c r="O436" s="878">
        <v>6</v>
      </c>
      <c r="P436" s="880">
        <v>18000</v>
      </c>
    </row>
    <row r="437" spans="1:16" ht="15.95" customHeight="1">
      <c r="A437" s="924" t="s">
        <v>2732</v>
      </c>
      <c r="B437" s="908" t="s">
        <v>1402</v>
      </c>
      <c r="C437" s="908" t="s">
        <v>96</v>
      </c>
      <c r="D437" s="910" t="s">
        <v>1574</v>
      </c>
      <c r="E437" s="917">
        <v>8000</v>
      </c>
      <c r="F437" s="908">
        <v>10543569</v>
      </c>
      <c r="G437" s="910" t="s">
        <v>2244</v>
      </c>
      <c r="H437" s="910" t="s">
        <v>1455</v>
      </c>
      <c r="I437" s="911" t="s">
        <v>1406</v>
      </c>
      <c r="J437" s="911" t="s">
        <v>1411</v>
      </c>
      <c r="K437" s="879">
        <v>1</v>
      </c>
      <c r="L437" s="878">
        <v>1</v>
      </c>
      <c r="M437" s="880">
        <v>8000</v>
      </c>
      <c r="N437" s="879">
        <v>1</v>
      </c>
      <c r="O437" s="878">
        <v>2</v>
      </c>
      <c r="P437" s="880">
        <v>16000</v>
      </c>
    </row>
    <row r="438" spans="1:16" ht="24">
      <c r="A438" s="924" t="s">
        <v>2732</v>
      </c>
      <c r="B438" s="908" t="s">
        <v>1402</v>
      </c>
      <c r="C438" s="908" t="s">
        <v>96</v>
      </c>
      <c r="D438" s="910" t="s">
        <v>2245</v>
      </c>
      <c r="E438" s="917">
        <v>8000</v>
      </c>
      <c r="F438" s="908">
        <v>29597245</v>
      </c>
      <c r="G438" s="910" t="s">
        <v>2246</v>
      </c>
      <c r="H438" s="910" t="s">
        <v>1414</v>
      </c>
      <c r="I438" s="911" t="s">
        <v>1420</v>
      </c>
      <c r="J438" s="911" t="s">
        <v>1407</v>
      </c>
      <c r="K438" s="879">
        <v>1</v>
      </c>
      <c r="L438" s="878">
        <v>12</v>
      </c>
      <c r="M438" s="880">
        <v>96300</v>
      </c>
      <c r="N438" s="879">
        <v>1</v>
      </c>
      <c r="O438" s="878">
        <v>6</v>
      </c>
      <c r="P438" s="880">
        <v>48000</v>
      </c>
    </row>
    <row r="439" spans="1:16">
      <c r="A439" s="924" t="s">
        <v>2732</v>
      </c>
      <c r="B439" s="908" t="s">
        <v>1402</v>
      </c>
      <c r="C439" s="908" t="s">
        <v>96</v>
      </c>
      <c r="D439" s="910" t="s">
        <v>2247</v>
      </c>
      <c r="E439" s="917">
        <v>7000</v>
      </c>
      <c r="F439" s="908">
        <v>7633497</v>
      </c>
      <c r="G439" s="910" t="s">
        <v>2248</v>
      </c>
      <c r="H439" s="910" t="s">
        <v>1519</v>
      </c>
      <c r="I439" s="911" t="s">
        <v>1420</v>
      </c>
      <c r="J439" s="911" t="s">
        <v>1411</v>
      </c>
      <c r="K439" s="879">
        <v>1</v>
      </c>
      <c r="L439" s="878">
        <v>12</v>
      </c>
      <c r="M439" s="880">
        <v>83906.25</v>
      </c>
      <c r="N439" s="879">
        <v>1</v>
      </c>
      <c r="O439" s="878">
        <v>6</v>
      </c>
      <c r="P439" s="880">
        <v>41097.770000000004</v>
      </c>
    </row>
    <row r="440" spans="1:16" ht="24">
      <c r="A440" s="924" t="s">
        <v>2732</v>
      </c>
      <c r="B440" s="908" t="s">
        <v>1402</v>
      </c>
      <c r="C440" s="908" t="s">
        <v>96</v>
      </c>
      <c r="D440" s="910" t="s">
        <v>2249</v>
      </c>
      <c r="E440" s="917">
        <v>7500</v>
      </c>
      <c r="F440" s="908">
        <v>41250796</v>
      </c>
      <c r="G440" s="910" t="s">
        <v>2250</v>
      </c>
      <c r="H440" s="910" t="s">
        <v>1417</v>
      </c>
      <c r="I440" s="911" t="s">
        <v>1406</v>
      </c>
      <c r="J440" s="911" t="s">
        <v>1411</v>
      </c>
      <c r="K440" s="879">
        <v>1</v>
      </c>
      <c r="L440" s="878">
        <v>12</v>
      </c>
      <c r="M440" s="880">
        <v>90300</v>
      </c>
      <c r="N440" s="879">
        <v>1</v>
      </c>
      <c r="O440" s="878">
        <v>6</v>
      </c>
      <c r="P440" s="880">
        <v>45000</v>
      </c>
    </row>
    <row r="441" spans="1:16" ht="24">
      <c r="A441" s="924" t="s">
        <v>2732</v>
      </c>
      <c r="B441" s="908" t="s">
        <v>1402</v>
      </c>
      <c r="C441" s="908" t="s">
        <v>96</v>
      </c>
      <c r="D441" s="910" t="s">
        <v>2251</v>
      </c>
      <c r="E441" s="917">
        <v>8000</v>
      </c>
      <c r="F441" s="908">
        <v>9954247</v>
      </c>
      <c r="G441" s="910" t="s">
        <v>2252</v>
      </c>
      <c r="H441" s="910" t="s">
        <v>1474</v>
      </c>
      <c r="I441" s="911" t="s">
        <v>1480</v>
      </c>
      <c r="J441" s="911" t="s">
        <v>1411</v>
      </c>
      <c r="K441" s="879">
        <v>1</v>
      </c>
      <c r="L441" s="878">
        <v>6</v>
      </c>
      <c r="M441" s="880">
        <v>46133.33</v>
      </c>
      <c r="N441" s="879">
        <v>1</v>
      </c>
      <c r="O441" s="878">
        <v>6</v>
      </c>
      <c r="P441" s="880">
        <v>48000</v>
      </c>
    </row>
    <row r="442" spans="1:16" ht="15.95" customHeight="1">
      <c r="A442" s="924" t="s">
        <v>2732</v>
      </c>
      <c r="B442" s="908" t="s">
        <v>1402</v>
      </c>
      <c r="C442" s="908" t="s">
        <v>96</v>
      </c>
      <c r="D442" s="910" t="s">
        <v>1685</v>
      </c>
      <c r="E442" s="917">
        <v>15600</v>
      </c>
      <c r="F442" s="908">
        <v>20579272</v>
      </c>
      <c r="G442" s="910" t="s">
        <v>2253</v>
      </c>
      <c r="H442" s="910" t="s">
        <v>1471</v>
      </c>
      <c r="I442" s="911" t="s">
        <v>1406</v>
      </c>
      <c r="J442" s="911" t="s">
        <v>1411</v>
      </c>
      <c r="K442" s="879">
        <v>1</v>
      </c>
      <c r="L442" s="878">
        <v>12</v>
      </c>
      <c r="M442" s="880">
        <v>90300</v>
      </c>
      <c r="N442" s="879">
        <v>1</v>
      </c>
      <c r="O442" s="878">
        <v>6</v>
      </c>
      <c r="P442" s="880">
        <v>45000</v>
      </c>
    </row>
    <row r="443" spans="1:16" ht="15.95" customHeight="1">
      <c r="A443" s="924" t="s">
        <v>2732</v>
      </c>
      <c r="B443" s="908" t="s">
        <v>1402</v>
      </c>
      <c r="C443" s="908" t="s">
        <v>96</v>
      </c>
      <c r="D443" s="910" t="s">
        <v>2254</v>
      </c>
      <c r="E443" s="917">
        <v>7000</v>
      </c>
      <c r="F443" s="908">
        <v>44024373</v>
      </c>
      <c r="G443" s="910" t="s">
        <v>2255</v>
      </c>
      <c r="H443" s="910" t="s">
        <v>1410</v>
      </c>
      <c r="I443" s="911" t="s">
        <v>1406</v>
      </c>
      <c r="J443" s="911" t="s">
        <v>1420</v>
      </c>
      <c r="K443" s="879">
        <v>1</v>
      </c>
      <c r="L443" s="878">
        <v>2</v>
      </c>
      <c r="M443" s="880">
        <v>16333.33</v>
      </c>
      <c r="N443" s="879">
        <v>1</v>
      </c>
      <c r="O443" s="878">
        <v>6</v>
      </c>
      <c r="P443" s="880">
        <v>42000</v>
      </c>
    </row>
    <row r="444" spans="1:16" ht="15.95" customHeight="1">
      <c r="A444" s="924" t="s">
        <v>2732</v>
      </c>
      <c r="B444" s="908" t="s">
        <v>1402</v>
      </c>
      <c r="C444" s="908" t="s">
        <v>96</v>
      </c>
      <c r="D444" s="910" t="s">
        <v>1613</v>
      </c>
      <c r="E444" s="917">
        <v>12000</v>
      </c>
      <c r="F444" s="908">
        <v>42979366</v>
      </c>
      <c r="G444" s="910" t="s">
        <v>2256</v>
      </c>
      <c r="H444" s="910" t="s">
        <v>1410</v>
      </c>
      <c r="I444" s="911" t="s">
        <v>1420</v>
      </c>
      <c r="J444" s="911" t="s">
        <v>1411</v>
      </c>
      <c r="K444" s="879">
        <v>1</v>
      </c>
      <c r="L444" s="878">
        <v>2</v>
      </c>
      <c r="M444" s="880">
        <v>27923.33</v>
      </c>
      <c r="N444" s="879">
        <v>1</v>
      </c>
      <c r="O444" s="878">
        <v>6</v>
      </c>
      <c r="P444" s="880">
        <v>72000</v>
      </c>
    </row>
    <row r="445" spans="1:16" ht="15.95" customHeight="1">
      <c r="A445" s="924" t="s">
        <v>2732</v>
      </c>
      <c r="B445" s="908" t="s">
        <v>1402</v>
      </c>
      <c r="C445" s="908" t="s">
        <v>96</v>
      </c>
      <c r="D445" s="910" t="s">
        <v>1675</v>
      </c>
      <c r="E445" s="917">
        <v>15600</v>
      </c>
      <c r="F445" s="908">
        <v>29234870</v>
      </c>
      <c r="G445" s="910" t="s">
        <v>2257</v>
      </c>
      <c r="H445" s="910" t="s">
        <v>1442</v>
      </c>
      <c r="I445" s="911" t="s">
        <v>1406</v>
      </c>
      <c r="J445" s="911" t="s">
        <v>1411</v>
      </c>
      <c r="K445" s="879">
        <v>1</v>
      </c>
      <c r="L445" s="878">
        <v>3</v>
      </c>
      <c r="M445" s="880">
        <v>28700</v>
      </c>
      <c r="N445" s="879">
        <v>0</v>
      </c>
      <c r="O445" s="878" t="s">
        <v>2731</v>
      </c>
      <c r="P445" s="880">
        <v>0</v>
      </c>
    </row>
    <row r="446" spans="1:16" ht="15.95" customHeight="1">
      <c r="A446" s="924" t="s">
        <v>2732</v>
      </c>
      <c r="B446" s="908" t="s">
        <v>1402</v>
      </c>
      <c r="C446" s="908" t="s">
        <v>96</v>
      </c>
      <c r="D446" s="910" t="s">
        <v>1685</v>
      </c>
      <c r="E446" s="917">
        <v>15600</v>
      </c>
      <c r="F446" s="908">
        <v>6239097</v>
      </c>
      <c r="G446" s="910" t="s">
        <v>2258</v>
      </c>
      <c r="H446" s="910" t="s">
        <v>2134</v>
      </c>
      <c r="I446" s="911" t="s">
        <v>1406</v>
      </c>
      <c r="J446" s="911" t="s">
        <v>1411</v>
      </c>
      <c r="K446" s="879">
        <v>1</v>
      </c>
      <c r="L446" s="878">
        <v>12</v>
      </c>
      <c r="M446" s="880">
        <v>187500</v>
      </c>
      <c r="N446" s="879">
        <v>1</v>
      </c>
      <c r="O446" s="878">
        <v>6</v>
      </c>
      <c r="P446" s="880">
        <v>92040</v>
      </c>
    </row>
    <row r="447" spans="1:16" ht="15.95" customHeight="1">
      <c r="A447" s="924" t="s">
        <v>2732</v>
      </c>
      <c r="B447" s="908" t="s">
        <v>1402</v>
      </c>
      <c r="C447" s="908" t="s">
        <v>96</v>
      </c>
      <c r="D447" s="910" t="s">
        <v>2259</v>
      </c>
      <c r="E447" s="917">
        <v>6000</v>
      </c>
      <c r="F447" s="908">
        <v>25566632</v>
      </c>
      <c r="G447" s="910" t="s">
        <v>2260</v>
      </c>
      <c r="H447" s="910" t="s">
        <v>1437</v>
      </c>
      <c r="I447" s="911" t="s">
        <v>1420</v>
      </c>
      <c r="J447" s="911" t="s">
        <v>1411</v>
      </c>
      <c r="K447" s="879">
        <v>1</v>
      </c>
      <c r="L447" s="878">
        <v>2</v>
      </c>
      <c r="M447" s="880">
        <v>14000</v>
      </c>
      <c r="N447" s="879">
        <v>0</v>
      </c>
      <c r="O447" s="878" t="s">
        <v>2731</v>
      </c>
      <c r="P447" s="880">
        <v>0</v>
      </c>
    </row>
    <row r="448" spans="1:16" ht="15.95" customHeight="1">
      <c r="A448" s="924" t="s">
        <v>2732</v>
      </c>
      <c r="B448" s="908" t="s">
        <v>1402</v>
      </c>
      <c r="C448" s="908" t="s">
        <v>96</v>
      </c>
      <c r="D448" s="910" t="s">
        <v>2261</v>
      </c>
      <c r="E448" s="917">
        <v>11000</v>
      </c>
      <c r="F448" s="908">
        <v>29610739</v>
      </c>
      <c r="G448" s="910" t="s">
        <v>2262</v>
      </c>
      <c r="H448" s="910" t="s">
        <v>1410</v>
      </c>
      <c r="I448" s="911" t="s">
        <v>1406</v>
      </c>
      <c r="J448" s="911" t="s">
        <v>1411</v>
      </c>
      <c r="K448" s="879">
        <v>1</v>
      </c>
      <c r="L448" s="878">
        <v>2</v>
      </c>
      <c r="M448" s="880">
        <v>25666.67</v>
      </c>
      <c r="N448" s="879">
        <v>0</v>
      </c>
      <c r="O448" s="878" t="s">
        <v>2731</v>
      </c>
      <c r="P448" s="880">
        <v>0</v>
      </c>
    </row>
    <row r="449" spans="1:16" ht="24">
      <c r="A449" s="924" t="s">
        <v>2732</v>
      </c>
      <c r="B449" s="908" t="s">
        <v>1402</v>
      </c>
      <c r="C449" s="908" t="s">
        <v>96</v>
      </c>
      <c r="D449" s="910" t="s">
        <v>2263</v>
      </c>
      <c r="E449" s="917">
        <v>5000</v>
      </c>
      <c r="F449" s="908">
        <v>44214845</v>
      </c>
      <c r="G449" s="910" t="s">
        <v>2264</v>
      </c>
      <c r="H449" s="910" t="s">
        <v>1776</v>
      </c>
      <c r="I449" s="911" t="s">
        <v>1406</v>
      </c>
      <c r="J449" s="911" t="s">
        <v>1407</v>
      </c>
      <c r="K449" s="879">
        <v>1</v>
      </c>
      <c r="L449" s="878">
        <v>12</v>
      </c>
      <c r="M449" s="880">
        <v>60300</v>
      </c>
      <c r="N449" s="879">
        <v>1</v>
      </c>
      <c r="O449" s="878">
        <v>6</v>
      </c>
      <c r="P449" s="880">
        <v>30000</v>
      </c>
    </row>
    <row r="450" spans="1:16" ht="15.95" customHeight="1">
      <c r="A450" s="924" t="s">
        <v>2732</v>
      </c>
      <c r="B450" s="908" t="s">
        <v>1402</v>
      </c>
      <c r="C450" s="908" t="s">
        <v>96</v>
      </c>
      <c r="D450" s="910" t="s">
        <v>2265</v>
      </c>
      <c r="E450" s="917">
        <v>8000</v>
      </c>
      <c r="F450" s="908">
        <v>31667182</v>
      </c>
      <c r="G450" s="910" t="s">
        <v>2266</v>
      </c>
      <c r="H450" s="910" t="s">
        <v>1461</v>
      </c>
      <c r="I450" s="911" t="s">
        <v>1406</v>
      </c>
      <c r="J450" s="911" t="s">
        <v>1411</v>
      </c>
      <c r="K450" s="879">
        <v>1</v>
      </c>
      <c r="L450" s="878">
        <v>12</v>
      </c>
      <c r="M450" s="880">
        <v>96300</v>
      </c>
      <c r="N450" s="879">
        <v>1</v>
      </c>
      <c r="O450" s="878">
        <v>6</v>
      </c>
      <c r="P450" s="880">
        <v>48000</v>
      </c>
    </row>
    <row r="451" spans="1:16" ht="24">
      <c r="A451" s="924" t="s">
        <v>2732</v>
      </c>
      <c r="B451" s="908" t="s">
        <v>1402</v>
      </c>
      <c r="C451" s="908" t="s">
        <v>96</v>
      </c>
      <c r="D451" s="910" t="s">
        <v>2267</v>
      </c>
      <c r="E451" s="917">
        <v>6000</v>
      </c>
      <c r="F451" s="908">
        <v>72238877</v>
      </c>
      <c r="G451" s="910" t="s">
        <v>2268</v>
      </c>
      <c r="H451" s="910" t="s">
        <v>2269</v>
      </c>
      <c r="I451" s="911" t="s">
        <v>1406</v>
      </c>
      <c r="J451" s="911" t="s">
        <v>1411</v>
      </c>
      <c r="K451" s="879">
        <v>1</v>
      </c>
      <c r="L451" s="878">
        <v>2</v>
      </c>
      <c r="M451" s="880">
        <v>14000</v>
      </c>
      <c r="N451" s="879">
        <v>1</v>
      </c>
      <c r="O451" s="878">
        <v>3</v>
      </c>
      <c r="P451" s="880">
        <v>17413.330000000002</v>
      </c>
    </row>
    <row r="452" spans="1:16" ht="15.95" customHeight="1">
      <c r="A452" s="924" t="s">
        <v>2732</v>
      </c>
      <c r="B452" s="908" t="s">
        <v>1402</v>
      </c>
      <c r="C452" s="908" t="s">
        <v>96</v>
      </c>
      <c r="D452" s="910" t="s">
        <v>2270</v>
      </c>
      <c r="E452" s="917">
        <v>10000</v>
      </c>
      <c r="F452" s="908">
        <v>3830203</v>
      </c>
      <c r="G452" s="910" t="s">
        <v>2271</v>
      </c>
      <c r="H452" s="910" t="s">
        <v>1584</v>
      </c>
      <c r="I452" s="911" t="s">
        <v>1406</v>
      </c>
      <c r="J452" s="911" t="s">
        <v>1411</v>
      </c>
      <c r="K452" s="879">
        <v>1</v>
      </c>
      <c r="L452" s="878">
        <v>12</v>
      </c>
      <c r="M452" s="880">
        <v>119966.67</v>
      </c>
      <c r="N452" s="879">
        <v>1</v>
      </c>
      <c r="O452" s="878">
        <v>6</v>
      </c>
      <c r="P452" s="880">
        <v>59666.67</v>
      </c>
    </row>
    <row r="453" spans="1:16" ht="15.95" customHeight="1">
      <c r="A453" s="924" t="s">
        <v>2732</v>
      </c>
      <c r="B453" s="908" t="s">
        <v>1402</v>
      </c>
      <c r="C453" s="908" t="s">
        <v>96</v>
      </c>
      <c r="D453" s="910" t="s">
        <v>2272</v>
      </c>
      <c r="E453" s="917">
        <v>7000</v>
      </c>
      <c r="F453" s="908">
        <v>16680866</v>
      </c>
      <c r="G453" s="910" t="s">
        <v>2273</v>
      </c>
      <c r="H453" s="910" t="s">
        <v>2274</v>
      </c>
      <c r="I453" s="911" t="s">
        <v>1406</v>
      </c>
      <c r="J453" s="911" t="s">
        <v>1411</v>
      </c>
      <c r="K453" s="879">
        <v>1</v>
      </c>
      <c r="L453" s="878">
        <v>3</v>
      </c>
      <c r="M453" s="880">
        <v>21000</v>
      </c>
      <c r="N453" s="879">
        <v>0</v>
      </c>
      <c r="O453" s="878" t="s">
        <v>2731</v>
      </c>
      <c r="P453" s="880">
        <v>0</v>
      </c>
    </row>
    <row r="454" spans="1:16" ht="15.95" customHeight="1">
      <c r="A454" s="924" t="s">
        <v>2732</v>
      </c>
      <c r="B454" s="908" t="s">
        <v>1402</v>
      </c>
      <c r="C454" s="908" t="s">
        <v>96</v>
      </c>
      <c r="D454" s="910" t="s">
        <v>1693</v>
      </c>
      <c r="E454" s="917">
        <v>15600</v>
      </c>
      <c r="F454" s="908">
        <v>9454163</v>
      </c>
      <c r="G454" s="910" t="s">
        <v>2275</v>
      </c>
      <c r="H454" s="910" t="s">
        <v>1410</v>
      </c>
      <c r="I454" s="911" t="s">
        <v>1406</v>
      </c>
      <c r="J454" s="911" t="s">
        <v>1411</v>
      </c>
      <c r="K454" s="879">
        <v>1</v>
      </c>
      <c r="L454" s="878">
        <v>2</v>
      </c>
      <c r="M454" s="880">
        <v>34320</v>
      </c>
      <c r="N454" s="879">
        <v>0</v>
      </c>
      <c r="O454" s="878" t="s">
        <v>2731</v>
      </c>
      <c r="P454" s="880">
        <v>0</v>
      </c>
    </row>
    <row r="455" spans="1:16" ht="24">
      <c r="A455" s="924" t="s">
        <v>2732</v>
      </c>
      <c r="B455" s="908" t="s">
        <v>1402</v>
      </c>
      <c r="C455" s="908" t="s">
        <v>96</v>
      </c>
      <c r="D455" s="910" t="s">
        <v>2276</v>
      </c>
      <c r="E455" s="917">
        <v>3000</v>
      </c>
      <c r="F455" s="908">
        <v>7634038</v>
      </c>
      <c r="G455" s="910" t="s">
        <v>2277</v>
      </c>
      <c r="H455" s="910" t="s">
        <v>2278</v>
      </c>
      <c r="I455" s="911" t="s">
        <v>1452</v>
      </c>
      <c r="J455" s="911" t="s">
        <v>1411</v>
      </c>
      <c r="K455" s="879">
        <v>1</v>
      </c>
      <c r="L455" s="878">
        <v>12</v>
      </c>
      <c r="M455" s="880">
        <v>36300</v>
      </c>
      <c r="N455" s="879">
        <v>1</v>
      </c>
      <c r="O455" s="878">
        <v>6</v>
      </c>
      <c r="P455" s="880">
        <v>18000</v>
      </c>
    </row>
    <row r="456" spans="1:16" ht="15.95" customHeight="1">
      <c r="A456" s="924" t="s">
        <v>2732</v>
      </c>
      <c r="B456" s="908" t="s">
        <v>1402</v>
      </c>
      <c r="C456" s="908" t="s">
        <v>96</v>
      </c>
      <c r="D456" s="910" t="s">
        <v>1604</v>
      </c>
      <c r="E456" s="917">
        <v>12000</v>
      </c>
      <c r="F456" s="908">
        <v>80575342</v>
      </c>
      <c r="G456" s="910" t="s">
        <v>2279</v>
      </c>
      <c r="H456" s="910" t="s">
        <v>1410</v>
      </c>
      <c r="I456" s="911" t="s">
        <v>1406</v>
      </c>
      <c r="J456" s="911" t="s">
        <v>1420</v>
      </c>
      <c r="K456" s="879">
        <v>0</v>
      </c>
      <c r="L456" s="878" t="s">
        <v>2731</v>
      </c>
      <c r="M456" s="880">
        <v>0</v>
      </c>
      <c r="N456" s="879">
        <v>1</v>
      </c>
      <c r="O456" s="878">
        <v>6</v>
      </c>
      <c r="P456" s="880">
        <v>74000</v>
      </c>
    </row>
    <row r="457" spans="1:16" ht="15.95" customHeight="1">
      <c r="A457" s="924" t="s">
        <v>2732</v>
      </c>
      <c r="B457" s="908" t="s">
        <v>1402</v>
      </c>
      <c r="C457" s="908" t="s">
        <v>96</v>
      </c>
      <c r="D457" s="910" t="s">
        <v>2280</v>
      </c>
      <c r="E457" s="917">
        <v>2500</v>
      </c>
      <c r="F457" s="908">
        <v>8647561</v>
      </c>
      <c r="G457" s="910" t="s">
        <v>2281</v>
      </c>
      <c r="H457" s="910" t="s">
        <v>1451</v>
      </c>
      <c r="I457" s="911" t="s">
        <v>1480</v>
      </c>
      <c r="J457" s="911" t="s">
        <v>1451</v>
      </c>
      <c r="K457" s="879">
        <v>1</v>
      </c>
      <c r="L457" s="878">
        <v>12</v>
      </c>
      <c r="M457" s="880">
        <v>30300</v>
      </c>
      <c r="N457" s="879">
        <v>1</v>
      </c>
      <c r="O457" s="878">
        <v>6</v>
      </c>
      <c r="P457" s="880">
        <v>15000</v>
      </c>
    </row>
    <row r="458" spans="1:16" ht="24">
      <c r="A458" s="924" t="s">
        <v>2732</v>
      </c>
      <c r="B458" s="908" t="s">
        <v>1402</v>
      </c>
      <c r="C458" s="908" t="s">
        <v>96</v>
      </c>
      <c r="D458" s="910" t="s">
        <v>2282</v>
      </c>
      <c r="E458" s="917">
        <v>6000</v>
      </c>
      <c r="F458" s="908">
        <v>40327402</v>
      </c>
      <c r="G458" s="910" t="s">
        <v>2283</v>
      </c>
      <c r="H458" s="910" t="s">
        <v>1445</v>
      </c>
      <c r="I458" s="911" t="s">
        <v>1420</v>
      </c>
      <c r="J458" s="911" t="s">
        <v>1411</v>
      </c>
      <c r="K458" s="879">
        <v>1</v>
      </c>
      <c r="L458" s="878">
        <v>6</v>
      </c>
      <c r="M458" s="880">
        <v>34400</v>
      </c>
      <c r="N458" s="879">
        <v>1</v>
      </c>
      <c r="O458" s="878">
        <v>1</v>
      </c>
      <c r="P458" s="880">
        <v>6000</v>
      </c>
    </row>
    <row r="459" spans="1:16" ht="15.95" customHeight="1">
      <c r="A459" s="924" t="s">
        <v>2732</v>
      </c>
      <c r="B459" s="908" t="s">
        <v>1402</v>
      </c>
      <c r="C459" s="908" t="s">
        <v>96</v>
      </c>
      <c r="D459" s="910" t="s">
        <v>1630</v>
      </c>
      <c r="E459" s="917">
        <v>8000</v>
      </c>
      <c r="F459" s="908">
        <v>41676719</v>
      </c>
      <c r="G459" s="910" t="s">
        <v>2284</v>
      </c>
      <c r="H459" s="910" t="s">
        <v>1519</v>
      </c>
      <c r="I459" s="911" t="s">
        <v>1406</v>
      </c>
      <c r="J459" s="911" t="s">
        <v>1411</v>
      </c>
      <c r="K459" s="879">
        <v>1</v>
      </c>
      <c r="L459" s="878">
        <v>7</v>
      </c>
      <c r="M459" s="880">
        <v>56300</v>
      </c>
      <c r="N459" s="879">
        <v>0</v>
      </c>
      <c r="O459" s="878" t="s">
        <v>2731</v>
      </c>
      <c r="P459" s="880">
        <v>0</v>
      </c>
    </row>
    <row r="460" spans="1:16" ht="15.95" customHeight="1">
      <c r="A460" s="924" t="s">
        <v>2732</v>
      </c>
      <c r="B460" s="908" t="s">
        <v>1402</v>
      </c>
      <c r="C460" s="908" t="s">
        <v>96</v>
      </c>
      <c r="D460" s="910" t="s">
        <v>2285</v>
      </c>
      <c r="E460" s="917">
        <v>4200</v>
      </c>
      <c r="F460" s="908">
        <v>7537421</v>
      </c>
      <c r="G460" s="910" t="s">
        <v>2286</v>
      </c>
      <c r="H460" s="910" t="s">
        <v>1477</v>
      </c>
      <c r="I460" s="911" t="s">
        <v>1424</v>
      </c>
      <c r="J460" s="911" t="s">
        <v>1407</v>
      </c>
      <c r="K460" s="879">
        <v>1</v>
      </c>
      <c r="L460" s="878">
        <v>12</v>
      </c>
      <c r="M460" s="880">
        <v>50700</v>
      </c>
      <c r="N460" s="879">
        <v>1</v>
      </c>
      <c r="O460" s="878">
        <v>6</v>
      </c>
      <c r="P460" s="880">
        <v>25200</v>
      </c>
    </row>
    <row r="461" spans="1:16" ht="24">
      <c r="A461" s="924" t="s">
        <v>2732</v>
      </c>
      <c r="B461" s="908" t="s">
        <v>1402</v>
      </c>
      <c r="C461" s="908" t="s">
        <v>96</v>
      </c>
      <c r="D461" s="910" t="s">
        <v>2287</v>
      </c>
      <c r="E461" s="917">
        <v>11500</v>
      </c>
      <c r="F461" s="908">
        <v>9370015</v>
      </c>
      <c r="G461" s="910" t="s">
        <v>2288</v>
      </c>
      <c r="H461" s="910" t="s">
        <v>1504</v>
      </c>
      <c r="I461" s="911" t="s">
        <v>1406</v>
      </c>
      <c r="J461" s="911" t="s">
        <v>1420</v>
      </c>
      <c r="K461" s="879">
        <v>1</v>
      </c>
      <c r="L461" s="878">
        <v>6</v>
      </c>
      <c r="M461" s="880">
        <v>66316.67</v>
      </c>
      <c r="N461" s="879">
        <v>1</v>
      </c>
      <c r="O461" s="878">
        <v>6</v>
      </c>
      <c r="P461" s="880">
        <v>69000</v>
      </c>
    </row>
    <row r="462" spans="1:16" ht="24">
      <c r="A462" s="924" t="s">
        <v>2732</v>
      </c>
      <c r="B462" s="908" t="s">
        <v>1402</v>
      </c>
      <c r="C462" s="908" t="s">
        <v>96</v>
      </c>
      <c r="D462" s="910" t="s">
        <v>2289</v>
      </c>
      <c r="E462" s="917">
        <v>8000</v>
      </c>
      <c r="F462" s="908">
        <v>43409159</v>
      </c>
      <c r="G462" s="910" t="s">
        <v>2290</v>
      </c>
      <c r="H462" s="910" t="s">
        <v>1461</v>
      </c>
      <c r="I462" s="911" t="s">
        <v>1420</v>
      </c>
      <c r="J462" s="911" t="s">
        <v>1411</v>
      </c>
      <c r="K462" s="879">
        <v>1</v>
      </c>
      <c r="L462" s="878">
        <v>12</v>
      </c>
      <c r="M462" s="880">
        <v>96300</v>
      </c>
      <c r="N462" s="879">
        <v>1</v>
      </c>
      <c r="O462" s="878">
        <v>6</v>
      </c>
      <c r="P462" s="880">
        <v>48000</v>
      </c>
    </row>
    <row r="463" spans="1:16" ht="15.95" customHeight="1">
      <c r="A463" s="924" t="s">
        <v>2732</v>
      </c>
      <c r="B463" s="908" t="s">
        <v>1402</v>
      </c>
      <c r="C463" s="908" t="s">
        <v>96</v>
      </c>
      <c r="D463" s="910" t="s">
        <v>1408</v>
      </c>
      <c r="E463" s="917">
        <v>9000</v>
      </c>
      <c r="F463" s="908">
        <v>9271573</v>
      </c>
      <c r="G463" s="910" t="s">
        <v>2291</v>
      </c>
      <c r="H463" s="910" t="s">
        <v>1410</v>
      </c>
      <c r="I463" s="911" t="s">
        <v>1406</v>
      </c>
      <c r="J463" s="911" t="s">
        <v>1420</v>
      </c>
      <c r="K463" s="879">
        <v>1</v>
      </c>
      <c r="L463" s="878">
        <v>4</v>
      </c>
      <c r="M463" s="880">
        <v>32866.559999999998</v>
      </c>
      <c r="N463" s="879">
        <v>1</v>
      </c>
      <c r="O463" s="878">
        <v>6</v>
      </c>
      <c r="P463" s="880">
        <v>54000</v>
      </c>
    </row>
    <row r="464" spans="1:16" ht="24">
      <c r="A464" s="924" t="s">
        <v>2732</v>
      </c>
      <c r="B464" s="908" t="s">
        <v>1402</v>
      </c>
      <c r="C464" s="908" t="s">
        <v>96</v>
      </c>
      <c r="D464" s="910" t="s">
        <v>2292</v>
      </c>
      <c r="E464" s="917">
        <v>7000</v>
      </c>
      <c r="F464" s="908">
        <v>41353765</v>
      </c>
      <c r="G464" s="910" t="s">
        <v>2293</v>
      </c>
      <c r="H464" s="910" t="s">
        <v>1474</v>
      </c>
      <c r="I464" s="911" t="s">
        <v>1420</v>
      </c>
      <c r="J464" s="911" t="s">
        <v>1411</v>
      </c>
      <c r="K464" s="879">
        <v>1</v>
      </c>
      <c r="L464" s="878">
        <v>12</v>
      </c>
      <c r="M464" s="880">
        <v>84066.67</v>
      </c>
      <c r="N464" s="879">
        <v>1</v>
      </c>
      <c r="O464" s="878">
        <v>6</v>
      </c>
      <c r="P464" s="880">
        <v>42000</v>
      </c>
    </row>
    <row r="465" spans="1:16" ht="24">
      <c r="A465" s="924" t="s">
        <v>2732</v>
      </c>
      <c r="B465" s="908" t="s">
        <v>1402</v>
      </c>
      <c r="C465" s="908" t="s">
        <v>96</v>
      </c>
      <c r="D465" s="910" t="s">
        <v>2294</v>
      </c>
      <c r="E465" s="917">
        <v>7000</v>
      </c>
      <c r="F465" s="908">
        <v>9177348</v>
      </c>
      <c r="G465" s="910" t="s">
        <v>2295</v>
      </c>
      <c r="H465" s="910" t="s">
        <v>1795</v>
      </c>
      <c r="I465" s="911" t="s">
        <v>1406</v>
      </c>
      <c r="J465" s="911" t="s">
        <v>1411</v>
      </c>
      <c r="K465" s="879">
        <v>1</v>
      </c>
      <c r="L465" s="878">
        <v>12</v>
      </c>
      <c r="M465" s="880">
        <v>84066.67</v>
      </c>
      <c r="N465" s="879">
        <v>1</v>
      </c>
      <c r="O465" s="878">
        <v>6</v>
      </c>
      <c r="P465" s="880">
        <v>42000</v>
      </c>
    </row>
    <row r="466" spans="1:16" ht="24">
      <c r="A466" s="924" t="s">
        <v>2732</v>
      </c>
      <c r="B466" s="908" t="s">
        <v>1402</v>
      </c>
      <c r="C466" s="908" t="s">
        <v>96</v>
      </c>
      <c r="D466" s="910" t="s">
        <v>2296</v>
      </c>
      <c r="E466" s="917">
        <v>7000</v>
      </c>
      <c r="F466" s="908">
        <v>10586539</v>
      </c>
      <c r="G466" s="910" t="s">
        <v>2297</v>
      </c>
      <c r="H466" s="910" t="s">
        <v>1471</v>
      </c>
      <c r="I466" s="911" t="s">
        <v>1406</v>
      </c>
      <c r="J466" s="911" t="s">
        <v>1420</v>
      </c>
      <c r="K466" s="879">
        <v>1</v>
      </c>
      <c r="L466" s="878">
        <v>4</v>
      </c>
      <c r="M466" s="880">
        <v>27066.67</v>
      </c>
      <c r="N466" s="879">
        <v>1</v>
      </c>
      <c r="O466" s="878">
        <v>6</v>
      </c>
      <c r="P466" s="880">
        <v>42000</v>
      </c>
    </row>
    <row r="467" spans="1:16" ht="15.95" customHeight="1">
      <c r="A467" s="924" t="s">
        <v>2732</v>
      </c>
      <c r="B467" s="908" t="s">
        <v>1402</v>
      </c>
      <c r="C467" s="908" t="s">
        <v>96</v>
      </c>
      <c r="D467" s="910" t="s">
        <v>1621</v>
      </c>
      <c r="E467" s="917">
        <v>8000</v>
      </c>
      <c r="F467" s="908">
        <v>44035219</v>
      </c>
      <c r="G467" s="910" t="s">
        <v>2298</v>
      </c>
      <c r="H467" s="910" t="s">
        <v>1410</v>
      </c>
      <c r="I467" s="911" t="s">
        <v>1406</v>
      </c>
      <c r="J467" s="911" t="s">
        <v>1420</v>
      </c>
      <c r="K467" s="879">
        <v>0</v>
      </c>
      <c r="L467" s="878" t="s">
        <v>2731</v>
      </c>
      <c r="M467" s="880">
        <v>0</v>
      </c>
      <c r="N467" s="879">
        <v>1</v>
      </c>
      <c r="O467" s="878">
        <v>4</v>
      </c>
      <c r="P467" s="880">
        <v>33333.33</v>
      </c>
    </row>
    <row r="468" spans="1:16" ht="15.95" customHeight="1">
      <c r="A468" s="924" t="s">
        <v>2732</v>
      </c>
      <c r="B468" s="908" t="s">
        <v>1402</v>
      </c>
      <c r="C468" s="908" t="s">
        <v>96</v>
      </c>
      <c r="D468" s="910" t="s">
        <v>2299</v>
      </c>
      <c r="E468" s="917">
        <v>15500</v>
      </c>
      <c r="F468" s="908">
        <v>4742841</v>
      </c>
      <c r="G468" s="910" t="s">
        <v>2300</v>
      </c>
      <c r="H468" s="910" t="s">
        <v>1414</v>
      </c>
      <c r="I468" s="911" t="s">
        <v>1406</v>
      </c>
      <c r="J468" s="911" t="s">
        <v>1411</v>
      </c>
      <c r="K468" s="879">
        <v>1</v>
      </c>
      <c r="L468" s="878">
        <v>12</v>
      </c>
      <c r="M468" s="880">
        <v>186300</v>
      </c>
      <c r="N468" s="879">
        <v>1</v>
      </c>
      <c r="O468" s="878">
        <v>6</v>
      </c>
      <c r="P468" s="880">
        <v>91450</v>
      </c>
    </row>
    <row r="469" spans="1:16" ht="15.95" customHeight="1">
      <c r="A469" s="924" t="s">
        <v>2732</v>
      </c>
      <c r="B469" s="908" t="s">
        <v>1402</v>
      </c>
      <c r="C469" s="908" t="s">
        <v>96</v>
      </c>
      <c r="D469" s="910" t="s">
        <v>2301</v>
      </c>
      <c r="E469" s="917">
        <v>3500</v>
      </c>
      <c r="F469" s="908">
        <v>42371325</v>
      </c>
      <c r="G469" s="910" t="s">
        <v>2302</v>
      </c>
      <c r="H469" s="910" t="s">
        <v>1565</v>
      </c>
      <c r="I469" s="911" t="s">
        <v>1420</v>
      </c>
      <c r="J469" s="911" t="s">
        <v>1411</v>
      </c>
      <c r="K469" s="879">
        <v>1</v>
      </c>
      <c r="L469" s="878">
        <v>12</v>
      </c>
      <c r="M469" s="880">
        <v>42300</v>
      </c>
      <c r="N469" s="879">
        <v>1</v>
      </c>
      <c r="O469" s="878">
        <v>6</v>
      </c>
      <c r="P469" s="880">
        <v>21000</v>
      </c>
    </row>
    <row r="470" spans="1:16" ht="24">
      <c r="A470" s="924" t="s">
        <v>2732</v>
      </c>
      <c r="B470" s="908" t="s">
        <v>1402</v>
      </c>
      <c r="C470" s="908" t="s">
        <v>96</v>
      </c>
      <c r="D470" s="910" t="s">
        <v>2303</v>
      </c>
      <c r="E470" s="917">
        <v>8500</v>
      </c>
      <c r="F470" s="908">
        <v>45949425</v>
      </c>
      <c r="G470" s="910" t="s">
        <v>2304</v>
      </c>
      <c r="H470" s="910" t="s">
        <v>1410</v>
      </c>
      <c r="I470" s="911" t="s">
        <v>1406</v>
      </c>
      <c r="J470" s="911" t="s">
        <v>1411</v>
      </c>
      <c r="K470" s="879">
        <v>1</v>
      </c>
      <c r="L470" s="878">
        <v>12</v>
      </c>
      <c r="M470" s="880">
        <v>102300</v>
      </c>
      <c r="N470" s="879">
        <v>1</v>
      </c>
      <c r="O470" s="878">
        <v>6</v>
      </c>
      <c r="P470" s="880">
        <v>51000</v>
      </c>
    </row>
    <row r="471" spans="1:16" ht="24">
      <c r="A471" s="924" t="s">
        <v>2732</v>
      </c>
      <c r="B471" s="908" t="s">
        <v>1402</v>
      </c>
      <c r="C471" s="908" t="s">
        <v>96</v>
      </c>
      <c r="D471" s="910" t="s">
        <v>2305</v>
      </c>
      <c r="E471" s="917">
        <v>8000</v>
      </c>
      <c r="F471" s="908">
        <v>6598545</v>
      </c>
      <c r="G471" s="910" t="s">
        <v>2306</v>
      </c>
      <c r="H471" s="910" t="s">
        <v>1410</v>
      </c>
      <c r="I471" s="911" t="s">
        <v>1406</v>
      </c>
      <c r="J471" s="911" t="s">
        <v>1411</v>
      </c>
      <c r="K471" s="879">
        <v>1</v>
      </c>
      <c r="L471" s="878">
        <v>6</v>
      </c>
      <c r="M471" s="880">
        <v>45975</v>
      </c>
      <c r="N471" s="879">
        <v>1</v>
      </c>
      <c r="O471" s="878">
        <v>1</v>
      </c>
      <c r="P471" s="880">
        <v>6133.18</v>
      </c>
    </row>
    <row r="472" spans="1:16" ht="15.95" customHeight="1">
      <c r="A472" s="924" t="s">
        <v>2732</v>
      </c>
      <c r="B472" s="908" t="s">
        <v>1402</v>
      </c>
      <c r="C472" s="908" t="s">
        <v>96</v>
      </c>
      <c r="D472" s="910" t="s">
        <v>1462</v>
      </c>
      <c r="E472" s="917">
        <v>2000</v>
      </c>
      <c r="F472" s="908">
        <v>1207097</v>
      </c>
      <c r="G472" s="910" t="s">
        <v>2307</v>
      </c>
      <c r="H472" s="910" t="s">
        <v>1620</v>
      </c>
      <c r="I472" s="911" t="s">
        <v>1424</v>
      </c>
      <c r="J472" s="911" t="s">
        <v>1451</v>
      </c>
      <c r="K472" s="879">
        <v>1</v>
      </c>
      <c r="L472" s="878">
        <v>12</v>
      </c>
      <c r="M472" s="880">
        <v>24300</v>
      </c>
      <c r="N472" s="879">
        <v>1</v>
      </c>
      <c r="O472" s="878">
        <v>6</v>
      </c>
      <c r="P472" s="880">
        <v>12000</v>
      </c>
    </row>
    <row r="473" spans="1:16" ht="24">
      <c r="A473" s="924" t="s">
        <v>2732</v>
      </c>
      <c r="B473" s="908" t="s">
        <v>1402</v>
      </c>
      <c r="C473" s="908" t="s">
        <v>96</v>
      </c>
      <c r="D473" s="910" t="s">
        <v>2308</v>
      </c>
      <c r="E473" s="917">
        <v>7000</v>
      </c>
      <c r="F473" s="908">
        <v>40945961</v>
      </c>
      <c r="G473" s="910" t="s">
        <v>2309</v>
      </c>
      <c r="H473" s="910" t="s">
        <v>1504</v>
      </c>
      <c r="I473" s="911" t="s">
        <v>1406</v>
      </c>
      <c r="J473" s="911" t="s">
        <v>1411</v>
      </c>
      <c r="K473" s="879">
        <v>1</v>
      </c>
      <c r="L473" s="878">
        <v>12</v>
      </c>
      <c r="M473" s="880">
        <v>84300</v>
      </c>
      <c r="N473" s="879">
        <v>1</v>
      </c>
      <c r="O473" s="878">
        <v>6</v>
      </c>
      <c r="P473" s="880">
        <v>42000</v>
      </c>
    </row>
    <row r="474" spans="1:16" ht="15.95" customHeight="1">
      <c r="A474" s="924" t="s">
        <v>2732</v>
      </c>
      <c r="B474" s="908" t="s">
        <v>1402</v>
      </c>
      <c r="C474" s="908" t="s">
        <v>96</v>
      </c>
      <c r="D474" s="910" t="s">
        <v>1530</v>
      </c>
      <c r="E474" s="917">
        <v>3000</v>
      </c>
      <c r="F474" s="908">
        <v>70241047</v>
      </c>
      <c r="G474" s="910" t="s">
        <v>2310</v>
      </c>
      <c r="H474" s="910" t="s">
        <v>2311</v>
      </c>
      <c r="I474" s="911" t="s">
        <v>1406</v>
      </c>
      <c r="J474" s="911" t="s">
        <v>1407</v>
      </c>
      <c r="K474" s="879">
        <v>1</v>
      </c>
      <c r="L474" s="878">
        <v>12</v>
      </c>
      <c r="M474" s="880">
        <v>36300</v>
      </c>
      <c r="N474" s="879">
        <v>1</v>
      </c>
      <c r="O474" s="878">
        <v>6</v>
      </c>
      <c r="P474" s="880">
        <v>18000</v>
      </c>
    </row>
    <row r="475" spans="1:16" ht="15.95" customHeight="1">
      <c r="A475" s="924" t="s">
        <v>2732</v>
      </c>
      <c r="B475" s="908" t="s">
        <v>1402</v>
      </c>
      <c r="C475" s="908" t="s">
        <v>96</v>
      </c>
      <c r="D475" s="910" t="s">
        <v>2312</v>
      </c>
      <c r="E475" s="917">
        <v>7000</v>
      </c>
      <c r="F475" s="908">
        <v>10246530</v>
      </c>
      <c r="G475" s="910" t="s">
        <v>2313</v>
      </c>
      <c r="H475" s="910" t="s">
        <v>1417</v>
      </c>
      <c r="I475" s="911" t="s">
        <v>1406</v>
      </c>
      <c r="J475" s="911" t="s">
        <v>1420</v>
      </c>
      <c r="K475" s="879">
        <v>1</v>
      </c>
      <c r="L475" s="878">
        <v>4</v>
      </c>
      <c r="M475" s="880">
        <v>26976.25</v>
      </c>
      <c r="N475" s="879">
        <v>1</v>
      </c>
      <c r="O475" s="878">
        <v>6</v>
      </c>
      <c r="P475" s="880">
        <v>42000</v>
      </c>
    </row>
    <row r="476" spans="1:16" ht="15.95" customHeight="1">
      <c r="A476" s="924" t="s">
        <v>2732</v>
      </c>
      <c r="B476" s="908" t="s">
        <v>1402</v>
      </c>
      <c r="C476" s="908" t="s">
        <v>96</v>
      </c>
      <c r="D476" s="910" t="s">
        <v>1946</v>
      </c>
      <c r="E476" s="917">
        <v>9500</v>
      </c>
      <c r="F476" s="908">
        <v>40398889</v>
      </c>
      <c r="G476" s="910" t="s">
        <v>2314</v>
      </c>
      <c r="H476" s="910" t="s">
        <v>1471</v>
      </c>
      <c r="I476" s="911" t="s">
        <v>1406</v>
      </c>
      <c r="J476" s="911" t="s">
        <v>1420</v>
      </c>
      <c r="K476" s="879">
        <v>1</v>
      </c>
      <c r="L476" s="878">
        <v>6</v>
      </c>
      <c r="M476" s="880">
        <v>54783.33</v>
      </c>
      <c r="N476" s="879">
        <v>1</v>
      </c>
      <c r="O476" s="878">
        <v>6</v>
      </c>
      <c r="P476" s="880">
        <v>57000</v>
      </c>
    </row>
    <row r="477" spans="1:16" ht="15.95" customHeight="1">
      <c r="A477" s="924" t="s">
        <v>2732</v>
      </c>
      <c r="B477" s="908" t="s">
        <v>1402</v>
      </c>
      <c r="C477" s="908" t="s">
        <v>96</v>
      </c>
      <c r="D477" s="910" t="s">
        <v>1751</v>
      </c>
      <c r="E477" s="917">
        <v>15600</v>
      </c>
      <c r="F477" s="908">
        <v>9565844</v>
      </c>
      <c r="G477" s="910" t="s">
        <v>2315</v>
      </c>
      <c r="H477" s="910" t="s">
        <v>1483</v>
      </c>
      <c r="I477" s="911" t="s">
        <v>1420</v>
      </c>
      <c r="J477" s="911" t="s">
        <v>2316</v>
      </c>
      <c r="K477" s="879">
        <v>1</v>
      </c>
      <c r="L477" s="878">
        <v>12</v>
      </c>
      <c r="M477" s="880">
        <v>187500</v>
      </c>
      <c r="N477" s="879">
        <v>1</v>
      </c>
      <c r="O477" s="878">
        <v>2</v>
      </c>
      <c r="P477" s="880">
        <v>31200</v>
      </c>
    </row>
    <row r="478" spans="1:16" ht="15.95" customHeight="1">
      <c r="A478" s="924" t="s">
        <v>2732</v>
      </c>
      <c r="B478" s="908" t="s">
        <v>1402</v>
      </c>
      <c r="C478" s="908" t="s">
        <v>96</v>
      </c>
      <c r="D478" s="910" t="s">
        <v>1751</v>
      </c>
      <c r="E478" s="917">
        <v>15600</v>
      </c>
      <c r="F478" s="908">
        <v>25710460</v>
      </c>
      <c r="G478" s="910" t="s">
        <v>2317</v>
      </c>
      <c r="H478" s="910" t="s">
        <v>1488</v>
      </c>
      <c r="I478" s="911" t="s">
        <v>1406</v>
      </c>
      <c r="J478" s="911" t="s">
        <v>1411</v>
      </c>
      <c r="K478" s="879">
        <v>1</v>
      </c>
      <c r="L478" s="878">
        <v>10</v>
      </c>
      <c r="M478" s="880">
        <v>147980</v>
      </c>
      <c r="N478" s="879">
        <v>0</v>
      </c>
      <c r="O478" s="878" t="s">
        <v>2731</v>
      </c>
      <c r="P478" s="880">
        <v>0</v>
      </c>
    </row>
    <row r="479" spans="1:16" ht="15.95" customHeight="1">
      <c r="A479" s="924" t="s">
        <v>2732</v>
      </c>
      <c r="B479" s="908" t="s">
        <v>1402</v>
      </c>
      <c r="C479" s="908" t="s">
        <v>96</v>
      </c>
      <c r="D479" s="910" t="s">
        <v>1754</v>
      </c>
      <c r="E479" s="917">
        <v>13000</v>
      </c>
      <c r="F479" s="908">
        <v>8811578</v>
      </c>
      <c r="G479" s="910" t="s">
        <v>2318</v>
      </c>
      <c r="H479" s="910" t="s">
        <v>1410</v>
      </c>
      <c r="I479" s="911" t="s">
        <v>1406</v>
      </c>
      <c r="J479" s="911" t="s">
        <v>1420</v>
      </c>
      <c r="K479" s="879">
        <v>0</v>
      </c>
      <c r="L479" s="878" t="s">
        <v>2731</v>
      </c>
      <c r="M479" s="880">
        <v>0</v>
      </c>
      <c r="N479" s="879">
        <v>1</v>
      </c>
      <c r="O479" s="878">
        <v>5</v>
      </c>
      <c r="P479" s="880">
        <v>65000</v>
      </c>
    </row>
    <row r="480" spans="1:16" ht="24">
      <c r="A480" s="924" t="s">
        <v>2732</v>
      </c>
      <c r="B480" s="908" t="s">
        <v>1402</v>
      </c>
      <c r="C480" s="908" t="s">
        <v>96</v>
      </c>
      <c r="D480" s="910" t="s">
        <v>2319</v>
      </c>
      <c r="E480" s="917">
        <v>8000</v>
      </c>
      <c r="F480" s="908">
        <v>42707924</v>
      </c>
      <c r="G480" s="910" t="s">
        <v>2320</v>
      </c>
      <c r="H480" s="910" t="s">
        <v>1584</v>
      </c>
      <c r="I480" s="911" t="s">
        <v>1406</v>
      </c>
      <c r="J480" s="911" t="s">
        <v>1411</v>
      </c>
      <c r="K480" s="879">
        <v>1</v>
      </c>
      <c r="L480" s="878">
        <v>12</v>
      </c>
      <c r="M480" s="880">
        <v>96300</v>
      </c>
      <c r="N480" s="879">
        <v>1</v>
      </c>
      <c r="O480" s="878">
        <v>6</v>
      </c>
      <c r="P480" s="880">
        <v>48000</v>
      </c>
    </row>
    <row r="481" spans="1:16" ht="24">
      <c r="A481" s="924" t="s">
        <v>2732</v>
      </c>
      <c r="B481" s="908" t="s">
        <v>1402</v>
      </c>
      <c r="C481" s="908" t="s">
        <v>96</v>
      </c>
      <c r="D481" s="910" t="s">
        <v>2321</v>
      </c>
      <c r="E481" s="917">
        <v>12000</v>
      </c>
      <c r="F481" s="908">
        <v>41243625</v>
      </c>
      <c r="G481" s="910" t="s">
        <v>2322</v>
      </c>
      <c r="H481" s="910" t="s">
        <v>1410</v>
      </c>
      <c r="I481" s="911" t="s">
        <v>1406</v>
      </c>
      <c r="J481" s="911" t="s">
        <v>1411</v>
      </c>
      <c r="K481" s="879">
        <v>1</v>
      </c>
      <c r="L481" s="878">
        <v>12</v>
      </c>
      <c r="M481" s="880">
        <v>144600</v>
      </c>
      <c r="N481" s="879">
        <v>1</v>
      </c>
      <c r="O481" s="878">
        <v>6</v>
      </c>
      <c r="P481" s="880">
        <v>71939.17</v>
      </c>
    </row>
    <row r="482" spans="1:16" ht="15.95" customHeight="1">
      <c r="A482" s="924" t="s">
        <v>2732</v>
      </c>
      <c r="B482" s="908" t="s">
        <v>1402</v>
      </c>
      <c r="C482" s="908" t="s">
        <v>96</v>
      </c>
      <c r="D482" s="910" t="s">
        <v>2323</v>
      </c>
      <c r="E482" s="917">
        <v>10500</v>
      </c>
      <c r="F482" s="908">
        <v>10158562</v>
      </c>
      <c r="G482" s="910" t="s">
        <v>2324</v>
      </c>
      <c r="H482" s="910" t="s">
        <v>1410</v>
      </c>
      <c r="I482" s="911" t="s">
        <v>1406</v>
      </c>
      <c r="J482" s="911" t="s">
        <v>1411</v>
      </c>
      <c r="K482" s="879">
        <v>1</v>
      </c>
      <c r="L482" s="878">
        <v>7</v>
      </c>
      <c r="M482" s="880">
        <v>73800</v>
      </c>
      <c r="N482" s="879">
        <v>0</v>
      </c>
      <c r="O482" s="878" t="s">
        <v>2731</v>
      </c>
      <c r="P482" s="880">
        <v>0</v>
      </c>
    </row>
    <row r="483" spans="1:16" ht="36">
      <c r="A483" s="924" t="s">
        <v>2732</v>
      </c>
      <c r="B483" s="908" t="s">
        <v>1402</v>
      </c>
      <c r="C483" s="908" t="s">
        <v>96</v>
      </c>
      <c r="D483" s="910" t="s">
        <v>2325</v>
      </c>
      <c r="E483" s="917">
        <v>10000</v>
      </c>
      <c r="F483" s="908">
        <v>8133713</v>
      </c>
      <c r="G483" s="910" t="s">
        <v>2326</v>
      </c>
      <c r="H483" s="910" t="s">
        <v>1432</v>
      </c>
      <c r="I483" s="911" t="s">
        <v>1406</v>
      </c>
      <c r="J483" s="911" t="s">
        <v>1411</v>
      </c>
      <c r="K483" s="879">
        <v>1</v>
      </c>
      <c r="L483" s="878">
        <v>12</v>
      </c>
      <c r="M483" s="880">
        <v>107300</v>
      </c>
      <c r="N483" s="879">
        <v>1</v>
      </c>
      <c r="O483" s="878">
        <v>6</v>
      </c>
      <c r="P483" s="880">
        <v>60000</v>
      </c>
    </row>
    <row r="484" spans="1:16" ht="24">
      <c r="A484" s="924" t="s">
        <v>2732</v>
      </c>
      <c r="B484" s="908" t="s">
        <v>1402</v>
      </c>
      <c r="C484" s="908" t="s">
        <v>96</v>
      </c>
      <c r="D484" s="910" t="s">
        <v>2327</v>
      </c>
      <c r="E484" s="917">
        <v>8000</v>
      </c>
      <c r="F484" s="908">
        <v>40185248</v>
      </c>
      <c r="G484" s="910" t="s">
        <v>2328</v>
      </c>
      <c r="H484" s="910" t="s">
        <v>1442</v>
      </c>
      <c r="I484" s="911" t="s">
        <v>1406</v>
      </c>
      <c r="J484" s="911" t="s">
        <v>1420</v>
      </c>
      <c r="K484" s="879">
        <v>1</v>
      </c>
      <c r="L484" s="878">
        <v>4</v>
      </c>
      <c r="M484" s="880">
        <v>30859.440000000002</v>
      </c>
      <c r="N484" s="879">
        <v>1</v>
      </c>
      <c r="O484" s="878">
        <v>6</v>
      </c>
      <c r="P484" s="880">
        <v>47217.78</v>
      </c>
    </row>
    <row r="485" spans="1:16" ht="15.95" customHeight="1">
      <c r="A485" s="924" t="s">
        <v>2732</v>
      </c>
      <c r="B485" s="908" t="s">
        <v>1402</v>
      </c>
      <c r="C485" s="908" t="s">
        <v>96</v>
      </c>
      <c r="D485" s="910" t="s">
        <v>2329</v>
      </c>
      <c r="E485" s="917">
        <v>8000</v>
      </c>
      <c r="F485" s="908">
        <v>6154194</v>
      </c>
      <c r="G485" s="910" t="s">
        <v>2330</v>
      </c>
      <c r="H485" s="910" t="s">
        <v>2331</v>
      </c>
      <c r="I485" s="911" t="s">
        <v>1420</v>
      </c>
      <c r="J485" s="911" t="s">
        <v>1411</v>
      </c>
      <c r="K485" s="879">
        <v>1</v>
      </c>
      <c r="L485" s="878">
        <v>12</v>
      </c>
      <c r="M485" s="880">
        <v>67296.67</v>
      </c>
      <c r="N485" s="879">
        <v>1</v>
      </c>
      <c r="O485" s="878">
        <v>6</v>
      </c>
      <c r="P485" s="880">
        <v>48000</v>
      </c>
    </row>
    <row r="486" spans="1:16" ht="15.95" customHeight="1">
      <c r="A486" s="924" t="s">
        <v>2732</v>
      </c>
      <c r="B486" s="908" t="s">
        <v>1402</v>
      </c>
      <c r="C486" s="908" t="s">
        <v>96</v>
      </c>
      <c r="D486" s="910" t="s">
        <v>1754</v>
      </c>
      <c r="E486" s="917">
        <v>13000</v>
      </c>
      <c r="F486" s="908">
        <v>42433953</v>
      </c>
      <c r="G486" s="910" t="s">
        <v>2332</v>
      </c>
      <c r="H486" s="910" t="s">
        <v>1410</v>
      </c>
      <c r="I486" s="911" t="s">
        <v>1406</v>
      </c>
      <c r="J486" s="911" t="s">
        <v>1411</v>
      </c>
      <c r="K486" s="879">
        <v>1</v>
      </c>
      <c r="L486" s="878">
        <v>11</v>
      </c>
      <c r="M486" s="880">
        <v>139184</v>
      </c>
      <c r="N486" s="879">
        <v>0</v>
      </c>
      <c r="O486" s="878" t="s">
        <v>2731</v>
      </c>
      <c r="P486" s="880">
        <v>0</v>
      </c>
    </row>
    <row r="487" spans="1:16" ht="24">
      <c r="A487" s="924" t="s">
        <v>2732</v>
      </c>
      <c r="B487" s="908" t="s">
        <v>1402</v>
      </c>
      <c r="C487" s="908" t="s">
        <v>96</v>
      </c>
      <c r="D487" s="910" t="s">
        <v>2333</v>
      </c>
      <c r="E487" s="917">
        <v>5500</v>
      </c>
      <c r="F487" s="908">
        <v>10247160</v>
      </c>
      <c r="G487" s="910" t="s">
        <v>2334</v>
      </c>
      <c r="H487" s="910" t="s">
        <v>1477</v>
      </c>
      <c r="I487" s="911" t="s">
        <v>1480</v>
      </c>
      <c r="J487" s="911" t="s">
        <v>1407</v>
      </c>
      <c r="K487" s="879">
        <v>1</v>
      </c>
      <c r="L487" s="878">
        <v>12</v>
      </c>
      <c r="M487" s="880">
        <v>66300</v>
      </c>
      <c r="N487" s="879">
        <v>1</v>
      </c>
      <c r="O487" s="878">
        <v>6</v>
      </c>
      <c r="P487" s="880">
        <v>33000</v>
      </c>
    </row>
    <row r="488" spans="1:16" ht="24">
      <c r="A488" s="924" t="s">
        <v>2732</v>
      </c>
      <c r="B488" s="908" t="s">
        <v>1402</v>
      </c>
      <c r="C488" s="908" t="s">
        <v>96</v>
      </c>
      <c r="D488" s="910" t="s">
        <v>2335</v>
      </c>
      <c r="E488" s="917">
        <v>5000</v>
      </c>
      <c r="F488" s="908">
        <v>70439567</v>
      </c>
      <c r="G488" s="910" t="s">
        <v>2336</v>
      </c>
      <c r="H488" s="910" t="s">
        <v>1570</v>
      </c>
      <c r="I488" s="911" t="s">
        <v>1406</v>
      </c>
      <c r="J488" s="911" t="s">
        <v>1411</v>
      </c>
      <c r="K488" s="879">
        <v>1</v>
      </c>
      <c r="L488" s="878">
        <v>8</v>
      </c>
      <c r="M488" s="880">
        <v>39655.18</v>
      </c>
      <c r="N488" s="879">
        <v>0</v>
      </c>
      <c r="O488" s="878" t="s">
        <v>2731</v>
      </c>
      <c r="P488" s="880">
        <v>0</v>
      </c>
    </row>
    <row r="489" spans="1:16" ht="24">
      <c r="A489" s="924" t="s">
        <v>2732</v>
      </c>
      <c r="B489" s="908" t="s">
        <v>1402</v>
      </c>
      <c r="C489" s="908" t="s">
        <v>96</v>
      </c>
      <c r="D489" s="910" t="s">
        <v>2337</v>
      </c>
      <c r="E489" s="917">
        <v>6000</v>
      </c>
      <c r="F489" s="908">
        <v>45205969</v>
      </c>
      <c r="G489" s="910" t="s">
        <v>2338</v>
      </c>
      <c r="H489" s="910" t="s">
        <v>1474</v>
      </c>
      <c r="I489" s="911" t="s">
        <v>1406</v>
      </c>
      <c r="J489" s="911" t="s">
        <v>1411</v>
      </c>
      <c r="K489" s="879">
        <v>1</v>
      </c>
      <c r="L489" s="878">
        <v>6</v>
      </c>
      <c r="M489" s="880">
        <v>33400</v>
      </c>
      <c r="N489" s="879">
        <v>0</v>
      </c>
      <c r="O489" s="878" t="s">
        <v>2731</v>
      </c>
      <c r="P489" s="880">
        <v>0</v>
      </c>
    </row>
    <row r="490" spans="1:16" ht="15.95" customHeight="1">
      <c r="A490" s="924" t="s">
        <v>2732</v>
      </c>
      <c r="B490" s="908" t="s">
        <v>1402</v>
      </c>
      <c r="C490" s="908" t="s">
        <v>96</v>
      </c>
      <c r="D490" s="910" t="s">
        <v>1879</v>
      </c>
      <c r="E490" s="917">
        <v>6000</v>
      </c>
      <c r="F490" s="908">
        <v>46540004</v>
      </c>
      <c r="G490" s="910" t="s">
        <v>2339</v>
      </c>
      <c r="H490" s="910" t="s">
        <v>1417</v>
      </c>
      <c r="I490" s="911" t="s">
        <v>1406</v>
      </c>
      <c r="J490" s="911" t="s">
        <v>1420</v>
      </c>
      <c r="K490" s="879">
        <v>1</v>
      </c>
      <c r="L490" s="878">
        <v>2</v>
      </c>
      <c r="M490" s="880">
        <v>14000</v>
      </c>
      <c r="N490" s="879">
        <v>1</v>
      </c>
      <c r="O490" s="878">
        <v>6</v>
      </c>
      <c r="P490" s="880">
        <v>31786</v>
      </c>
    </row>
    <row r="491" spans="1:16" ht="15.95" customHeight="1">
      <c r="A491" s="924" t="s">
        <v>2732</v>
      </c>
      <c r="B491" s="908" t="s">
        <v>1402</v>
      </c>
      <c r="C491" s="908" t="s">
        <v>96</v>
      </c>
      <c r="D491" s="910" t="s">
        <v>2340</v>
      </c>
      <c r="E491" s="917">
        <v>8500</v>
      </c>
      <c r="F491" s="908">
        <v>41399613</v>
      </c>
      <c r="G491" s="910" t="s">
        <v>2341</v>
      </c>
      <c r="H491" s="910" t="s">
        <v>2062</v>
      </c>
      <c r="I491" s="911" t="s">
        <v>1406</v>
      </c>
      <c r="J491" s="911" t="s">
        <v>1411</v>
      </c>
      <c r="K491" s="879">
        <v>1</v>
      </c>
      <c r="L491" s="878">
        <v>12</v>
      </c>
      <c r="M491" s="880">
        <v>102300</v>
      </c>
      <c r="N491" s="879">
        <v>0</v>
      </c>
      <c r="O491" s="878" t="s">
        <v>2731</v>
      </c>
      <c r="P491" s="880">
        <v>0</v>
      </c>
    </row>
    <row r="492" spans="1:16" ht="15.95" customHeight="1">
      <c r="A492" s="924" t="s">
        <v>2732</v>
      </c>
      <c r="B492" s="908" t="s">
        <v>1402</v>
      </c>
      <c r="C492" s="908" t="s">
        <v>96</v>
      </c>
      <c r="D492" s="910" t="s">
        <v>2342</v>
      </c>
      <c r="E492" s="917">
        <v>8000</v>
      </c>
      <c r="F492" s="908">
        <v>7084726</v>
      </c>
      <c r="G492" s="910" t="s">
        <v>2343</v>
      </c>
      <c r="H492" s="910" t="s">
        <v>1584</v>
      </c>
      <c r="I492" s="911" t="s">
        <v>1420</v>
      </c>
      <c r="J492" s="911" t="s">
        <v>1411</v>
      </c>
      <c r="K492" s="879">
        <v>1</v>
      </c>
      <c r="L492" s="878">
        <v>12</v>
      </c>
      <c r="M492" s="880">
        <v>96300</v>
      </c>
      <c r="N492" s="879">
        <v>1</v>
      </c>
      <c r="O492" s="878">
        <v>6</v>
      </c>
      <c r="P492" s="880">
        <v>48000</v>
      </c>
    </row>
    <row r="493" spans="1:16" ht="15.95" customHeight="1">
      <c r="A493" s="924" t="s">
        <v>2732</v>
      </c>
      <c r="B493" s="908" t="s">
        <v>1402</v>
      </c>
      <c r="C493" s="908" t="s">
        <v>96</v>
      </c>
      <c r="D493" s="910" t="s">
        <v>2344</v>
      </c>
      <c r="E493" s="917">
        <v>7000</v>
      </c>
      <c r="F493" s="908">
        <v>70844447</v>
      </c>
      <c r="G493" s="910" t="s">
        <v>2345</v>
      </c>
      <c r="H493" s="910" t="s">
        <v>1670</v>
      </c>
      <c r="I493" s="911" t="s">
        <v>1406</v>
      </c>
      <c r="J493" s="911" t="s">
        <v>1420</v>
      </c>
      <c r="K493" s="879">
        <v>1</v>
      </c>
      <c r="L493" s="878">
        <v>4</v>
      </c>
      <c r="M493" s="880">
        <v>27066.67</v>
      </c>
      <c r="N493" s="879">
        <v>1</v>
      </c>
      <c r="O493" s="878">
        <v>6</v>
      </c>
      <c r="P493" s="880">
        <v>37184</v>
      </c>
    </row>
    <row r="494" spans="1:16" ht="24">
      <c r="A494" s="924" t="s">
        <v>2732</v>
      </c>
      <c r="B494" s="908" t="s">
        <v>1402</v>
      </c>
      <c r="C494" s="908" t="s">
        <v>96</v>
      </c>
      <c r="D494" s="910" t="s">
        <v>2346</v>
      </c>
      <c r="E494" s="917">
        <v>10000</v>
      </c>
      <c r="F494" s="908">
        <v>10004311</v>
      </c>
      <c r="G494" s="910" t="s">
        <v>2347</v>
      </c>
      <c r="H494" s="910" t="s">
        <v>1483</v>
      </c>
      <c r="I494" s="911" t="s">
        <v>1406</v>
      </c>
      <c r="J494" s="911" t="s">
        <v>1411</v>
      </c>
      <c r="K494" s="879">
        <v>1</v>
      </c>
      <c r="L494" s="878">
        <v>12</v>
      </c>
      <c r="M494" s="880">
        <v>107033.33</v>
      </c>
      <c r="N494" s="879">
        <v>1</v>
      </c>
      <c r="O494" s="878">
        <v>6</v>
      </c>
      <c r="P494" s="880">
        <v>60000</v>
      </c>
    </row>
    <row r="495" spans="1:16" ht="24">
      <c r="A495" s="924" t="s">
        <v>2732</v>
      </c>
      <c r="B495" s="908" t="s">
        <v>1402</v>
      </c>
      <c r="C495" s="908" t="s">
        <v>96</v>
      </c>
      <c r="D495" s="910" t="s">
        <v>2348</v>
      </c>
      <c r="E495" s="917">
        <v>3500</v>
      </c>
      <c r="F495" s="908">
        <v>45441567</v>
      </c>
      <c r="G495" s="910" t="s">
        <v>2349</v>
      </c>
      <c r="H495" s="910" t="s">
        <v>1455</v>
      </c>
      <c r="I495" s="911" t="s">
        <v>1406</v>
      </c>
      <c r="J495" s="911" t="s">
        <v>1420</v>
      </c>
      <c r="K495" s="879">
        <v>1</v>
      </c>
      <c r="L495" s="878">
        <v>4</v>
      </c>
      <c r="M495" s="880">
        <v>13533.33</v>
      </c>
      <c r="N495" s="879">
        <v>1</v>
      </c>
      <c r="O495" s="878">
        <v>6</v>
      </c>
      <c r="P495" s="880">
        <v>21000</v>
      </c>
    </row>
    <row r="496" spans="1:16" ht="15.95" customHeight="1">
      <c r="A496" s="924" t="s">
        <v>2732</v>
      </c>
      <c r="B496" s="908" t="s">
        <v>1402</v>
      </c>
      <c r="C496" s="908" t="s">
        <v>96</v>
      </c>
      <c r="D496" s="910" t="s">
        <v>2350</v>
      </c>
      <c r="E496" s="917">
        <v>6000</v>
      </c>
      <c r="F496" s="908">
        <v>43149979</v>
      </c>
      <c r="G496" s="910" t="s">
        <v>2351</v>
      </c>
      <c r="H496" s="910" t="s">
        <v>1458</v>
      </c>
      <c r="I496" s="911" t="s">
        <v>1406</v>
      </c>
      <c r="J496" s="911" t="s">
        <v>1411</v>
      </c>
      <c r="K496" s="879">
        <v>1</v>
      </c>
      <c r="L496" s="878">
        <v>2</v>
      </c>
      <c r="M496" s="880">
        <v>10400</v>
      </c>
      <c r="N496" s="879">
        <v>0</v>
      </c>
      <c r="O496" s="878" t="s">
        <v>2731</v>
      </c>
      <c r="P496" s="880">
        <v>0</v>
      </c>
    </row>
    <row r="497" spans="1:16" ht="15.95" customHeight="1">
      <c r="A497" s="924" t="s">
        <v>2732</v>
      </c>
      <c r="B497" s="908" t="s">
        <v>1402</v>
      </c>
      <c r="C497" s="908" t="s">
        <v>96</v>
      </c>
      <c r="D497" s="910" t="s">
        <v>1554</v>
      </c>
      <c r="E497" s="917">
        <v>4000</v>
      </c>
      <c r="F497" s="908">
        <v>25721723</v>
      </c>
      <c r="G497" s="910" t="s">
        <v>2352</v>
      </c>
      <c r="H497" s="910" t="s">
        <v>1477</v>
      </c>
      <c r="I497" s="911" t="s">
        <v>1480</v>
      </c>
      <c r="J497" s="911" t="s">
        <v>1407</v>
      </c>
      <c r="K497" s="879">
        <v>1</v>
      </c>
      <c r="L497" s="878">
        <v>12</v>
      </c>
      <c r="M497" s="880">
        <v>48300</v>
      </c>
      <c r="N497" s="879">
        <v>1</v>
      </c>
      <c r="O497" s="878">
        <v>6</v>
      </c>
      <c r="P497" s="880">
        <v>24000</v>
      </c>
    </row>
    <row r="498" spans="1:16" ht="15.95" customHeight="1">
      <c r="A498" s="924" t="s">
        <v>2732</v>
      </c>
      <c r="B498" s="908" t="s">
        <v>1402</v>
      </c>
      <c r="C498" s="908" t="s">
        <v>96</v>
      </c>
      <c r="D498" s="910" t="s">
        <v>1421</v>
      </c>
      <c r="E498" s="917">
        <v>3000</v>
      </c>
      <c r="F498" s="908">
        <v>41661525</v>
      </c>
      <c r="G498" s="910" t="s">
        <v>2353</v>
      </c>
      <c r="H498" s="910" t="s">
        <v>1477</v>
      </c>
      <c r="I498" s="911" t="s">
        <v>1406</v>
      </c>
      <c r="J498" s="911" t="s">
        <v>1407</v>
      </c>
      <c r="K498" s="879">
        <v>1</v>
      </c>
      <c r="L498" s="878">
        <v>12</v>
      </c>
      <c r="M498" s="880">
        <v>36300</v>
      </c>
      <c r="N498" s="879">
        <v>1</v>
      </c>
      <c r="O498" s="878">
        <v>6</v>
      </c>
      <c r="P498" s="880">
        <v>17900</v>
      </c>
    </row>
    <row r="499" spans="1:16" ht="15.95" customHeight="1">
      <c r="A499" s="924" t="s">
        <v>2732</v>
      </c>
      <c r="B499" s="908" t="s">
        <v>1402</v>
      </c>
      <c r="C499" s="908" t="s">
        <v>96</v>
      </c>
      <c r="D499" s="910" t="s">
        <v>1685</v>
      </c>
      <c r="E499" s="917">
        <v>14500</v>
      </c>
      <c r="F499" s="908">
        <v>29560510</v>
      </c>
      <c r="G499" s="910" t="s">
        <v>2354</v>
      </c>
      <c r="H499" s="910" t="s">
        <v>1410</v>
      </c>
      <c r="I499" s="911" t="s">
        <v>1406</v>
      </c>
      <c r="J499" s="911" t="s">
        <v>1411</v>
      </c>
      <c r="K499" s="879">
        <v>1</v>
      </c>
      <c r="L499" s="878">
        <v>12</v>
      </c>
      <c r="M499" s="880">
        <v>174180.51</v>
      </c>
      <c r="N499" s="879">
        <v>1</v>
      </c>
      <c r="O499" s="878">
        <v>6</v>
      </c>
      <c r="P499" s="880">
        <v>87000</v>
      </c>
    </row>
    <row r="500" spans="1:16" ht="24">
      <c r="A500" s="924" t="s">
        <v>2732</v>
      </c>
      <c r="B500" s="908" t="s">
        <v>1402</v>
      </c>
      <c r="C500" s="908" t="s">
        <v>96</v>
      </c>
      <c r="D500" s="910" t="s">
        <v>2355</v>
      </c>
      <c r="E500" s="917">
        <v>3500</v>
      </c>
      <c r="F500" s="908">
        <v>44430111</v>
      </c>
      <c r="G500" s="910" t="s">
        <v>2356</v>
      </c>
      <c r="H500" s="910" t="s">
        <v>1488</v>
      </c>
      <c r="I500" s="911" t="s">
        <v>1420</v>
      </c>
      <c r="J500" s="911" t="s">
        <v>1420</v>
      </c>
      <c r="K500" s="879">
        <v>1</v>
      </c>
      <c r="L500" s="878">
        <v>6</v>
      </c>
      <c r="M500" s="880">
        <v>20118.919999999998</v>
      </c>
      <c r="N500" s="879">
        <v>1</v>
      </c>
      <c r="O500" s="878">
        <v>6</v>
      </c>
      <c r="P500" s="880">
        <v>21000</v>
      </c>
    </row>
    <row r="501" spans="1:16" ht="15.95" customHeight="1">
      <c r="A501" s="924" t="s">
        <v>2732</v>
      </c>
      <c r="B501" s="908" t="s">
        <v>1402</v>
      </c>
      <c r="C501" s="908" t="s">
        <v>96</v>
      </c>
      <c r="D501" s="910" t="s">
        <v>2357</v>
      </c>
      <c r="E501" s="917">
        <v>3500</v>
      </c>
      <c r="F501" s="908">
        <v>43666114</v>
      </c>
      <c r="G501" s="910" t="s">
        <v>2358</v>
      </c>
      <c r="H501" s="910" t="s">
        <v>1477</v>
      </c>
      <c r="I501" s="911" t="s">
        <v>1406</v>
      </c>
      <c r="J501" s="911" t="s">
        <v>1407</v>
      </c>
      <c r="K501" s="879">
        <v>1</v>
      </c>
      <c r="L501" s="878">
        <v>6</v>
      </c>
      <c r="M501" s="880">
        <v>20183.330000000002</v>
      </c>
      <c r="N501" s="879">
        <v>1</v>
      </c>
      <c r="O501" s="878">
        <v>6</v>
      </c>
      <c r="P501" s="880">
        <v>20883.330000000002</v>
      </c>
    </row>
    <row r="502" spans="1:16" ht="24">
      <c r="A502" s="924" t="s">
        <v>2732</v>
      </c>
      <c r="B502" s="908" t="s">
        <v>1402</v>
      </c>
      <c r="C502" s="908" t="s">
        <v>96</v>
      </c>
      <c r="D502" s="910" t="s">
        <v>2359</v>
      </c>
      <c r="E502" s="917">
        <v>3000</v>
      </c>
      <c r="F502" s="908">
        <v>21139827</v>
      </c>
      <c r="G502" s="910" t="s">
        <v>2360</v>
      </c>
      <c r="H502" s="910" t="s">
        <v>1432</v>
      </c>
      <c r="I502" s="911" t="s">
        <v>1424</v>
      </c>
      <c r="J502" s="911" t="s">
        <v>1407</v>
      </c>
      <c r="K502" s="879">
        <v>1</v>
      </c>
      <c r="L502" s="878">
        <v>12</v>
      </c>
      <c r="M502" s="880">
        <v>36216.080000000002</v>
      </c>
      <c r="N502" s="879">
        <v>1</v>
      </c>
      <c r="O502" s="878">
        <v>6</v>
      </c>
      <c r="P502" s="880">
        <v>18000</v>
      </c>
    </row>
    <row r="503" spans="1:16" ht="24">
      <c r="A503" s="924" t="s">
        <v>2732</v>
      </c>
      <c r="B503" s="908" t="s">
        <v>1402</v>
      </c>
      <c r="C503" s="908" t="s">
        <v>96</v>
      </c>
      <c r="D503" s="910" t="s">
        <v>2251</v>
      </c>
      <c r="E503" s="917">
        <v>8000</v>
      </c>
      <c r="F503" s="908">
        <v>44531653</v>
      </c>
      <c r="G503" s="910" t="s">
        <v>2361</v>
      </c>
      <c r="H503" s="910" t="s">
        <v>1474</v>
      </c>
      <c r="I503" s="911" t="s">
        <v>1420</v>
      </c>
      <c r="J503" s="911" t="s">
        <v>1420</v>
      </c>
      <c r="K503" s="879">
        <v>1</v>
      </c>
      <c r="L503" s="878">
        <v>6</v>
      </c>
      <c r="M503" s="880">
        <v>46133.33</v>
      </c>
      <c r="N503" s="879">
        <v>1</v>
      </c>
      <c r="O503" s="878">
        <v>6</v>
      </c>
      <c r="P503" s="880">
        <v>48000</v>
      </c>
    </row>
    <row r="504" spans="1:16" ht="15.95" customHeight="1">
      <c r="A504" s="924" t="s">
        <v>2732</v>
      </c>
      <c r="B504" s="908" t="s">
        <v>1402</v>
      </c>
      <c r="C504" s="908" t="s">
        <v>96</v>
      </c>
      <c r="D504" s="910" t="s">
        <v>2362</v>
      </c>
      <c r="E504" s="917">
        <v>6000</v>
      </c>
      <c r="F504" s="908">
        <v>70431354</v>
      </c>
      <c r="G504" s="910" t="s">
        <v>2363</v>
      </c>
      <c r="H504" s="910" t="s">
        <v>1458</v>
      </c>
      <c r="I504" s="911" t="s">
        <v>1406</v>
      </c>
      <c r="J504" s="911" t="s">
        <v>1420</v>
      </c>
      <c r="K504" s="879">
        <v>1</v>
      </c>
      <c r="L504" s="878">
        <v>6</v>
      </c>
      <c r="M504" s="880">
        <v>34600</v>
      </c>
      <c r="N504" s="879">
        <v>1</v>
      </c>
      <c r="O504" s="878">
        <v>6</v>
      </c>
      <c r="P504" s="880">
        <v>36000</v>
      </c>
    </row>
    <row r="505" spans="1:16" ht="24">
      <c r="A505" s="924" t="s">
        <v>2732</v>
      </c>
      <c r="B505" s="908" t="s">
        <v>1402</v>
      </c>
      <c r="C505" s="908" t="s">
        <v>96</v>
      </c>
      <c r="D505" s="910" t="s">
        <v>2364</v>
      </c>
      <c r="E505" s="917">
        <v>7000</v>
      </c>
      <c r="F505" s="908">
        <v>41575083</v>
      </c>
      <c r="G505" s="910" t="s">
        <v>2365</v>
      </c>
      <c r="H505" s="910" t="s">
        <v>2366</v>
      </c>
      <c r="I505" s="911" t="s">
        <v>1406</v>
      </c>
      <c r="J505" s="911" t="s">
        <v>1420</v>
      </c>
      <c r="K505" s="879">
        <v>1</v>
      </c>
      <c r="L505" s="878">
        <v>6</v>
      </c>
      <c r="M505" s="880">
        <v>40366.67</v>
      </c>
      <c r="N505" s="879">
        <v>1</v>
      </c>
      <c r="O505" s="878">
        <v>6</v>
      </c>
      <c r="P505" s="880">
        <v>42000</v>
      </c>
    </row>
    <row r="506" spans="1:16" ht="15.95" customHeight="1">
      <c r="A506" s="924" t="s">
        <v>2732</v>
      </c>
      <c r="B506" s="908" t="s">
        <v>1402</v>
      </c>
      <c r="C506" s="908" t="s">
        <v>96</v>
      </c>
      <c r="D506" s="910" t="s">
        <v>2367</v>
      </c>
      <c r="E506" s="917">
        <v>5000</v>
      </c>
      <c r="F506" s="908">
        <v>7449414</v>
      </c>
      <c r="G506" s="910" t="s">
        <v>2368</v>
      </c>
      <c r="H506" s="910" t="s">
        <v>1414</v>
      </c>
      <c r="I506" s="911" t="s">
        <v>1420</v>
      </c>
      <c r="J506" s="911" t="s">
        <v>1411</v>
      </c>
      <c r="K506" s="879">
        <v>1</v>
      </c>
      <c r="L506" s="878">
        <v>12</v>
      </c>
      <c r="M506" s="880">
        <v>60123.33</v>
      </c>
      <c r="N506" s="879">
        <v>1</v>
      </c>
      <c r="O506" s="878">
        <v>6</v>
      </c>
      <c r="P506" s="880">
        <v>29833.33</v>
      </c>
    </row>
    <row r="507" spans="1:16" ht="15.95" customHeight="1">
      <c r="A507" s="924" t="s">
        <v>2732</v>
      </c>
      <c r="B507" s="908" t="s">
        <v>1402</v>
      </c>
      <c r="C507" s="908" t="s">
        <v>96</v>
      </c>
      <c r="D507" s="910" t="s">
        <v>2362</v>
      </c>
      <c r="E507" s="917">
        <v>6000</v>
      </c>
      <c r="F507" s="908">
        <v>44822208</v>
      </c>
      <c r="G507" s="910" t="s">
        <v>2369</v>
      </c>
      <c r="H507" s="910" t="s">
        <v>1670</v>
      </c>
      <c r="I507" s="911" t="s">
        <v>1406</v>
      </c>
      <c r="J507" s="911" t="s">
        <v>1420</v>
      </c>
      <c r="K507" s="879">
        <v>1</v>
      </c>
      <c r="L507" s="878">
        <v>6</v>
      </c>
      <c r="M507" s="880">
        <v>34600</v>
      </c>
      <c r="N507" s="879">
        <v>1</v>
      </c>
      <c r="O507" s="878">
        <v>6</v>
      </c>
      <c r="P507" s="880">
        <v>33000</v>
      </c>
    </row>
    <row r="508" spans="1:16" ht="15.95" customHeight="1">
      <c r="A508" s="924" t="s">
        <v>2732</v>
      </c>
      <c r="B508" s="908" t="s">
        <v>1402</v>
      </c>
      <c r="C508" s="908" t="s">
        <v>96</v>
      </c>
      <c r="D508" s="910" t="s">
        <v>2370</v>
      </c>
      <c r="E508" s="917">
        <v>5000</v>
      </c>
      <c r="F508" s="908">
        <v>44577731</v>
      </c>
      <c r="G508" s="910" t="s">
        <v>2371</v>
      </c>
      <c r="H508" s="910" t="s">
        <v>1455</v>
      </c>
      <c r="I508" s="911" t="s">
        <v>1420</v>
      </c>
      <c r="J508" s="911" t="s">
        <v>1411</v>
      </c>
      <c r="K508" s="879">
        <v>1</v>
      </c>
      <c r="L508" s="878">
        <v>11</v>
      </c>
      <c r="M508" s="880">
        <v>53466.54</v>
      </c>
      <c r="N508" s="879">
        <v>1</v>
      </c>
      <c r="O508" s="878">
        <v>2</v>
      </c>
      <c r="P508" s="880">
        <v>5666.63</v>
      </c>
    </row>
    <row r="509" spans="1:16" ht="24">
      <c r="A509" s="924" t="s">
        <v>2732</v>
      </c>
      <c r="B509" s="908" t="s">
        <v>1402</v>
      </c>
      <c r="C509" s="908" t="s">
        <v>96</v>
      </c>
      <c r="D509" s="910" t="s">
        <v>2372</v>
      </c>
      <c r="E509" s="917">
        <v>9860</v>
      </c>
      <c r="F509" s="908">
        <v>26716395</v>
      </c>
      <c r="G509" s="910" t="s">
        <v>2373</v>
      </c>
      <c r="H509" s="910" t="s">
        <v>1795</v>
      </c>
      <c r="I509" s="911" t="s">
        <v>1406</v>
      </c>
      <c r="J509" s="911" t="s">
        <v>1411</v>
      </c>
      <c r="K509" s="879">
        <v>1</v>
      </c>
      <c r="L509" s="878">
        <v>12</v>
      </c>
      <c r="M509" s="880">
        <v>118620</v>
      </c>
      <c r="N509" s="879">
        <v>1</v>
      </c>
      <c r="O509" s="878">
        <v>6</v>
      </c>
      <c r="P509" s="880">
        <v>59160</v>
      </c>
    </row>
    <row r="510" spans="1:16" ht="15.95" customHeight="1">
      <c r="A510" s="924" t="s">
        <v>2732</v>
      </c>
      <c r="B510" s="908" t="s">
        <v>1402</v>
      </c>
      <c r="C510" s="908" t="s">
        <v>96</v>
      </c>
      <c r="D510" s="910" t="s">
        <v>2374</v>
      </c>
      <c r="E510" s="917">
        <v>8500</v>
      </c>
      <c r="F510" s="908">
        <v>21526936</v>
      </c>
      <c r="G510" s="910" t="s">
        <v>2375</v>
      </c>
      <c r="H510" s="910" t="s">
        <v>1923</v>
      </c>
      <c r="I510" s="911" t="s">
        <v>1406</v>
      </c>
      <c r="J510" s="911" t="s">
        <v>1411</v>
      </c>
      <c r="K510" s="879">
        <v>1</v>
      </c>
      <c r="L510" s="878">
        <v>12</v>
      </c>
      <c r="M510" s="880">
        <v>101866.73999999999</v>
      </c>
      <c r="N510" s="879">
        <v>1</v>
      </c>
      <c r="O510" s="878">
        <v>6</v>
      </c>
      <c r="P510" s="880">
        <v>51000</v>
      </c>
    </row>
    <row r="511" spans="1:16" ht="15.95" customHeight="1">
      <c r="A511" s="924" t="s">
        <v>2732</v>
      </c>
      <c r="B511" s="908" t="s">
        <v>1402</v>
      </c>
      <c r="C511" s="908" t="s">
        <v>96</v>
      </c>
      <c r="D511" s="910" t="s">
        <v>1502</v>
      </c>
      <c r="E511" s="917">
        <v>10500</v>
      </c>
      <c r="F511" s="908">
        <v>10138985</v>
      </c>
      <c r="G511" s="910" t="s">
        <v>2376</v>
      </c>
      <c r="H511" s="910" t="s">
        <v>1474</v>
      </c>
      <c r="I511" s="911" t="s">
        <v>1406</v>
      </c>
      <c r="J511" s="911" t="s">
        <v>1411</v>
      </c>
      <c r="K511" s="879">
        <v>1</v>
      </c>
      <c r="L511" s="878">
        <v>12</v>
      </c>
      <c r="M511" s="880">
        <v>126686.36</v>
      </c>
      <c r="N511" s="879">
        <v>1</v>
      </c>
      <c r="O511" s="878">
        <v>6</v>
      </c>
      <c r="P511" s="880">
        <v>63000</v>
      </c>
    </row>
    <row r="512" spans="1:16" ht="24">
      <c r="A512" s="924" t="s">
        <v>2732</v>
      </c>
      <c r="B512" s="908" t="s">
        <v>1402</v>
      </c>
      <c r="C512" s="908" t="s">
        <v>96</v>
      </c>
      <c r="D512" s="910" t="s">
        <v>2377</v>
      </c>
      <c r="E512" s="917">
        <v>7000</v>
      </c>
      <c r="F512" s="908">
        <v>41811166</v>
      </c>
      <c r="G512" s="910" t="s">
        <v>2378</v>
      </c>
      <c r="H512" s="910" t="s">
        <v>1652</v>
      </c>
      <c r="I512" s="911" t="s">
        <v>1406</v>
      </c>
      <c r="J512" s="911" t="s">
        <v>1411</v>
      </c>
      <c r="K512" s="879">
        <v>1</v>
      </c>
      <c r="L512" s="878">
        <v>6</v>
      </c>
      <c r="M512" s="880">
        <v>39900</v>
      </c>
      <c r="N512" s="879">
        <v>0</v>
      </c>
      <c r="O512" s="878" t="s">
        <v>2731</v>
      </c>
      <c r="P512" s="880">
        <v>0</v>
      </c>
    </row>
    <row r="513" spans="1:16" ht="24">
      <c r="A513" s="924" t="s">
        <v>2732</v>
      </c>
      <c r="B513" s="908" t="s">
        <v>1402</v>
      </c>
      <c r="C513" s="908" t="s">
        <v>96</v>
      </c>
      <c r="D513" s="910" t="s">
        <v>2379</v>
      </c>
      <c r="E513" s="917">
        <v>10000</v>
      </c>
      <c r="F513" s="908">
        <v>9278585</v>
      </c>
      <c r="G513" s="910" t="s">
        <v>2380</v>
      </c>
      <c r="H513" s="910" t="s">
        <v>1417</v>
      </c>
      <c r="I513" s="911" t="s">
        <v>1406</v>
      </c>
      <c r="J513" s="911" t="s">
        <v>1411</v>
      </c>
      <c r="K513" s="879">
        <v>1</v>
      </c>
      <c r="L513" s="878">
        <v>12</v>
      </c>
      <c r="M513" s="880">
        <v>106508.88</v>
      </c>
      <c r="N513" s="879">
        <v>1</v>
      </c>
      <c r="O513" s="878">
        <v>6</v>
      </c>
      <c r="P513" s="880">
        <v>60000</v>
      </c>
    </row>
    <row r="514" spans="1:16" ht="15.95" customHeight="1">
      <c r="A514" s="924" t="s">
        <v>2732</v>
      </c>
      <c r="B514" s="908" t="s">
        <v>1402</v>
      </c>
      <c r="C514" s="908" t="s">
        <v>96</v>
      </c>
      <c r="D514" s="910" t="s">
        <v>1721</v>
      </c>
      <c r="E514" s="917">
        <v>1800</v>
      </c>
      <c r="F514" s="908">
        <v>9274266</v>
      </c>
      <c r="G514" s="910" t="s">
        <v>2381</v>
      </c>
      <c r="H514" s="910" t="s">
        <v>2382</v>
      </c>
      <c r="I514" s="911" t="s">
        <v>1424</v>
      </c>
      <c r="J514" s="911" t="s">
        <v>1407</v>
      </c>
      <c r="K514" s="879">
        <v>1</v>
      </c>
      <c r="L514" s="878">
        <v>4</v>
      </c>
      <c r="M514" s="880">
        <v>6960</v>
      </c>
      <c r="N514" s="879">
        <v>1</v>
      </c>
      <c r="O514" s="878">
        <v>6</v>
      </c>
      <c r="P514" s="880">
        <v>10800</v>
      </c>
    </row>
    <row r="515" spans="1:16" ht="15.95" customHeight="1">
      <c r="A515" s="924" t="s">
        <v>2732</v>
      </c>
      <c r="B515" s="908" t="s">
        <v>1402</v>
      </c>
      <c r="C515" s="908" t="s">
        <v>96</v>
      </c>
      <c r="D515" s="910" t="s">
        <v>2383</v>
      </c>
      <c r="E515" s="917">
        <v>3000</v>
      </c>
      <c r="F515" s="908">
        <v>41043953</v>
      </c>
      <c r="G515" s="910" t="s">
        <v>2384</v>
      </c>
      <c r="H515" s="910" t="s">
        <v>1565</v>
      </c>
      <c r="I515" s="911" t="s">
        <v>1406</v>
      </c>
      <c r="J515" s="911" t="s">
        <v>1411</v>
      </c>
      <c r="K515" s="879">
        <v>1</v>
      </c>
      <c r="L515" s="878">
        <v>12</v>
      </c>
      <c r="M515" s="880">
        <v>35819.72</v>
      </c>
      <c r="N515" s="879">
        <v>1</v>
      </c>
      <c r="O515" s="878">
        <v>6</v>
      </c>
      <c r="P515" s="880">
        <v>17800</v>
      </c>
    </row>
    <row r="516" spans="1:16" ht="15.95" customHeight="1">
      <c r="A516" s="924" t="s">
        <v>2732</v>
      </c>
      <c r="B516" s="908" t="s">
        <v>1402</v>
      </c>
      <c r="C516" s="908" t="s">
        <v>96</v>
      </c>
      <c r="D516" s="910" t="s">
        <v>1533</v>
      </c>
      <c r="E516" s="917">
        <v>9000</v>
      </c>
      <c r="F516" s="908">
        <v>21446199</v>
      </c>
      <c r="G516" s="910" t="s">
        <v>2385</v>
      </c>
      <c r="H516" s="910" t="s">
        <v>1410</v>
      </c>
      <c r="I516" s="911" t="s">
        <v>1406</v>
      </c>
      <c r="J516" s="911" t="s">
        <v>1411</v>
      </c>
      <c r="K516" s="879">
        <v>1</v>
      </c>
      <c r="L516" s="878">
        <v>12</v>
      </c>
      <c r="M516" s="880">
        <v>108300</v>
      </c>
      <c r="N516" s="879">
        <v>1</v>
      </c>
      <c r="O516" s="878">
        <v>6</v>
      </c>
      <c r="P516" s="880">
        <v>53887.5</v>
      </c>
    </row>
    <row r="517" spans="1:16" ht="24">
      <c r="A517" s="924" t="s">
        <v>2732</v>
      </c>
      <c r="B517" s="908" t="s">
        <v>1402</v>
      </c>
      <c r="C517" s="908" t="s">
        <v>96</v>
      </c>
      <c r="D517" s="910" t="s">
        <v>1855</v>
      </c>
      <c r="E517" s="917">
        <v>8000</v>
      </c>
      <c r="F517" s="908">
        <v>41268277</v>
      </c>
      <c r="G517" s="910" t="s">
        <v>2386</v>
      </c>
      <c r="H517" s="910" t="s">
        <v>1804</v>
      </c>
      <c r="I517" s="911" t="s">
        <v>1406</v>
      </c>
      <c r="J517" s="911" t="s">
        <v>1420</v>
      </c>
      <c r="K517" s="879">
        <v>1</v>
      </c>
      <c r="L517" s="878">
        <v>4</v>
      </c>
      <c r="M517" s="880">
        <v>30933.33</v>
      </c>
      <c r="N517" s="879">
        <v>1</v>
      </c>
      <c r="O517" s="878">
        <v>5</v>
      </c>
      <c r="P517" s="880">
        <v>36000</v>
      </c>
    </row>
    <row r="518" spans="1:16" ht="15.95" customHeight="1">
      <c r="A518" s="924" t="s">
        <v>2732</v>
      </c>
      <c r="B518" s="908" t="s">
        <v>1402</v>
      </c>
      <c r="C518" s="908" t="s">
        <v>96</v>
      </c>
      <c r="D518" s="910" t="s">
        <v>2094</v>
      </c>
      <c r="E518" s="917">
        <v>9000</v>
      </c>
      <c r="F518" s="908">
        <v>46199014</v>
      </c>
      <c r="G518" s="910" t="s">
        <v>2387</v>
      </c>
      <c r="H518" s="910" t="s">
        <v>1488</v>
      </c>
      <c r="I518" s="911" t="s">
        <v>1406</v>
      </c>
      <c r="J518" s="911" t="s">
        <v>1411</v>
      </c>
      <c r="K518" s="879">
        <v>1</v>
      </c>
      <c r="L518" s="878">
        <v>12</v>
      </c>
      <c r="M518" s="880">
        <v>108300</v>
      </c>
      <c r="N518" s="879">
        <v>1</v>
      </c>
      <c r="O518" s="878">
        <v>2</v>
      </c>
      <c r="P518" s="880">
        <v>10200</v>
      </c>
    </row>
    <row r="519" spans="1:16" ht="15.95" customHeight="1">
      <c r="A519" s="924" t="s">
        <v>2732</v>
      </c>
      <c r="B519" s="908" t="s">
        <v>1402</v>
      </c>
      <c r="C519" s="908" t="s">
        <v>96</v>
      </c>
      <c r="D519" s="910" t="s">
        <v>2388</v>
      </c>
      <c r="E519" s="917">
        <v>3400</v>
      </c>
      <c r="F519" s="908">
        <v>41015672</v>
      </c>
      <c r="G519" s="910" t="s">
        <v>2389</v>
      </c>
      <c r="H519" s="910" t="s">
        <v>1725</v>
      </c>
      <c r="I519" s="911" t="s">
        <v>1420</v>
      </c>
      <c r="J519" s="911" t="s">
        <v>1411</v>
      </c>
      <c r="K519" s="879">
        <v>1</v>
      </c>
      <c r="L519" s="878">
        <v>12</v>
      </c>
      <c r="M519" s="880">
        <v>40650.439999999995</v>
      </c>
      <c r="N519" s="879">
        <v>1</v>
      </c>
      <c r="O519" s="878">
        <v>6</v>
      </c>
      <c r="P519" s="880">
        <v>20400</v>
      </c>
    </row>
    <row r="520" spans="1:16" ht="15.95" customHeight="1">
      <c r="A520" s="924" t="s">
        <v>2732</v>
      </c>
      <c r="B520" s="908" t="s">
        <v>1402</v>
      </c>
      <c r="C520" s="908" t="s">
        <v>96</v>
      </c>
      <c r="D520" s="910" t="s">
        <v>1951</v>
      </c>
      <c r="E520" s="917">
        <v>7000</v>
      </c>
      <c r="F520" s="908">
        <v>43361798</v>
      </c>
      <c r="G520" s="910" t="s">
        <v>2390</v>
      </c>
      <c r="H520" s="910" t="s">
        <v>1584</v>
      </c>
      <c r="I520" s="911" t="s">
        <v>1406</v>
      </c>
      <c r="J520" s="911" t="s">
        <v>1420</v>
      </c>
      <c r="K520" s="879">
        <v>1</v>
      </c>
      <c r="L520" s="878">
        <v>4</v>
      </c>
      <c r="M520" s="880">
        <v>27066.67</v>
      </c>
      <c r="N520" s="879">
        <v>1</v>
      </c>
      <c r="O520" s="878">
        <v>6</v>
      </c>
      <c r="P520" s="880">
        <v>42000</v>
      </c>
    </row>
    <row r="521" spans="1:16" ht="24">
      <c r="A521" s="924" t="s">
        <v>2732</v>
      </c>
      <c r="B521" s="908" t="s">
        <v>1402</v>
      </c>
      <c r="C521" s="908" t="s">
        <v>96</v>
      </c>
      <c r="D521" s="910" t="s">
        <v>2391</v>
      </c>
      <c r="E521" s="917">
        <v>4000</v>
      </c>
      <c r="F521" s="908">
        <v>71127936</v>
      </c>
      <c r="G521" s="910" t="s">
        <v>2392</v>
      </c>
      <c r="H521" s="910" t="s">
        <v>1468</v>
      </c>
      <c r="I521" s="911" t="s">
        <v>1420</v>
      </c>
      <c r="J521" s="911" t="s">
        <v>1420</v>
      </c>
      <c r="K521" s="879">
        <v>1</v>
      </c>
      <c r="L521" s="878">
        <v>6</v>
      </c>
      <c r="M521" s="880">
        <v>23066.67</v>
      </c>
      <c r="N521" s="879">
        <v>1</v>
      </c>
      <c r="O521" s="878">
        <v>6</v>
      </c>
      <c r="P521" s="880">
        <v>24000</v>
      </c>
    </row>
    <row r="522" spans="1:16" ht="15.95" customHeight="1">
      <c r="A522" s="924" t="s">
        <v>2732</v>
      </c>
      <c r="B522" s="908" t="s">
        <v>1402</v>
      </c>
      <c r="C522" s="908" t="s">
        <v>96</v>
      </c>
      <c r="D522" s="910" t="s">
        <v>1582</v>
      </c>
      <c r="E522" s="917">
        <v>6000</v>
      </c>
      <c r="F522" s="908">
        <v>42599253</v>
      </c>
      <c r="G522" s="910" t="s">
        <v>2393</v>
      </c>
      <c r="H522" s="910" t="s">
        <v>1584</v>
      </c>
      <c r="I522" s="911" t="s">
        <v>1406</v>
      </c>
      <c r="J522" s="911" t="s">
        <v>1411</v>
      </c>
      <c r="K522" s="879">
        <v>1</v>
      </c>
      <c r="L522" s="878">
        <v>11</v>
      </c>
      <c r="M522" s="880">
        <v>69300</v>
      </c>
      <c r="N522" s="879">
        <v>0</v>
      </c>
      <c r="O522" s="878" t="s">
        <v>2731</v>
      </c>
      <c r="P522" s="880">
        <v>0</v>
      </c>
    </row>
    <row r="523" spans="1:16" ht="15.95" customHeight="1">
      <c r="A523" s="924" t="s">
        <v>2732</v>
      </c>
      <c r="B523" s="908" t="s">
        <v>1402</v>
      </c>
      <c r="C523" s="908" t="s">
        <v>96</v>
      </c>
      <c r="D523" s="910" t="s">
        <v>2394</v>
      </c>
      <c r="E523" s="917">
        <v>6000</v>
      </c>
      <c r="F523" s="908">
        <v>9852400</v>
      </c>
      <c r="G523" s="910" t="s">
        <v>2395</v>
      </c>
      <c r="H523" s="910" t="s">
        <v>2396</v>
      </c>
      <c r="I523" s="911" t="s">
        <v>1406</v>
      </c>
      <c r="J523" s="911" t="s">
        <v>1411</v>
      </c>
      <c r="K523" s="879">
        <v>1</v>
      </c>
      <c r="L523" s="878">
        <v>3</v>
      </c>
      <c r="M523" s="880">
        <v>18000</v>
      </c>
      <c r="N523" s="879">
        <v>1</v>
      </c>
      <c r="O523" s="878">
        <v>6</v>
      </c>
      <c r="P523" s="880">
        <v>35800</v>
      </c>
    </row>
    <row r="524" spans="1:16" ht="15.95" customHeight="1">
      <c r="A524" s="924" t="s">
        <v>2732</v>
      </c>
      <c r="B524" s="908" t="s">
        <v>1402</v>
      </c>
      <c r="C524" s="908" t="s">
        <v>96</v>
      </c>
      <c r="D524" s="910" t="s">
        <v>2397</v>
      </c>
      <c r="E524" s="917">
        <v>10000</v>
      </c>
      <c r="F524" s="908">
        <v>31676444</v>
      </c>
      <c r="G524" s="910" t="s">
        <v>2398</v>
      </c>
      <c r="H524" s="910" t="s">
        <v>1461</v>
      </c>
      <c r="I524" s="911" t="s">
        <v>1406</v>
      </c>
      <c r="J524" s="911" t="s">
        <v>1411</v>
      </c>
      <c r="K524" s="879">
        <v>1</v>
      </c>
      <c r="L524" s="878">
        <v>12</v>
      </c>
      <c r="M524" s="880">
        <v>120300</v>
      </c>
      <c r="N524" s="879">
        <v>1</v>
      </c>
      <c r="O524" s="878">
        <v>6</v>
      </c>
      <c r="P524" s="880">
        <v>60000</v>
      </c>
    </row>
    <row r="525" spans="1:16" ht="15.95" customHeight="1">
      <c r="A525" s="924" t="s">
        <v>2732</v>
      </c>
      <c r="B525" s="908" t="s">
        <v>1402</v>
      </c>
      <c r="C525" s="908" t="s">
        <v>96</v>
      </c>
      <c r="D525" s="910" t="s">
        <v>2153</v>
      </c>
      <c r="E525" s="917">
        <v>8000</v>
      </c>
      <c r="F525" s="908">
        <v>8891603</v>
      </c>
      <c r="G525" s="910" t="s">
        <v>2399</v>
      </c>
      <c r="H525" s="910" t="s">
        <v>1410</v>
      </c>
      <c r="I525" s="911" t="s">
        <v>1406</v>
      </c>
      <c r="J525" s="911" t="s">
        <v>1411</v>
      </c>
      <c r="K525" s="879">
        <v>1</v>
      </c>
      <c r="L525" s="878">
        <v>12</v>
      </c>
      <c r="M525" s="880">
        <v>96003.33</v>
      </c>
      <c r="N525" s="879">
        <v>1</v>
      </c>
      <c r="O525" s="878">
        <v>6</v>
      </c>
      <c r="P525" s="880">
        <v>48000</v>
      </c>
    </row>
    <row r="526" spans="1:16" ht="24">
      <c r="A526" s="924" t="s">
        <v>2732</v>
      </c>
      <c r="B526" s="908" t="s">
        <v>1402</v>
      </c>
      <c r="C526" s="908" t="s">
        <v>96</v>
      </c>
      <c r="D526" s="910" t="s">
        <v>2016</v>
      </c>
      <c r="E526" s="917">
        <v>3000</v>
      </c>
      <c r="F526" s="908">
        <v>7506089</v>
      </c>
      <c r="G526" s="910" t="s">
        <v>2400</v>
      </c>
      <c r="H526" s="910" t="s">
        <v>1451</v>
      </c>
      <c r="I526" s="911" t="s">
        <v>1452</v>
      </c>
      <c r="J526" s="911" t="s">
        <v>1451</v>
      </c>
      <c r="K526" s="879">
        <v>1</v>
      </c>
      <c r="L526" s="878">
        <v>12</v>
      </c>
      <c r="M526" s="880">
        <v>36300</v>
      </c>
      <c r="N526" s="879">
        <v>1</v>
      </c>
      <c r="O526" s="878">
        <v>6</v>
      </c>
      <c r="P526" s="880">
        <v>18000</v>
      </c>
    </row>
    <row r="527" spans="1:16" ht="15.95" customHeight="1">
      <c r="A527" s="924" t="s">
        <v>2732</v>
      </c>
      <c r="B527" s="908" t="s">
        <v>1402</v>
      </c>
      <c r="C527" s="908" t="s">
        <v>96</v>
      </c>
      <c r="D527" s="910" t="s">
        <v>2147</v>
      </c>
      <c r="E527" s="917">
        <v>7000</v>
      </c>
      <c r="F527" s="908">
        <v>41858636</v>
      </c>
      <c r="G527" s="910" t="s">
        <v>2401</v>
      </c>
      <c r="H527" s="910" t="s">
        <v>1670</v>
      </c>
      <c r="I527" s="911" t="s">
        <v>1406</v>
      </c>
      <c r="J527" s="911" t="s">
        <v>1411</v>
      </c>
      <c r="K527" s="879">
        <v>1</v>
      </c>
      <c r="L527" s="878">
        <v>12</v>
      </c>
      <c r="M527" s="880">
        <v>84300</v>
      </c>
      <c r="N527" s="879">
        <v>1</v>
      </c>
      <c r="O527" s="878">
        <v>6</v>
      </c>
      <c r="P527" s="880">
        <v>42000</v>
      </c>
    </row>
    <row r="528" spans="1:16" ht="24">
      <c r="A528" s="924" t="s">
        <v>2732</v>
      </c>
      <c r="B528" s="908" t="s">
        <v>1402</v>
      </c>
      <c r="C528" s="908" t="s">
        <v>96</v>
      </c>
      <c r="D528" s="910" t="s">
        <v>1723</v>
      </c>
      <c r="E528" s="917">
        <v>12500</v>
      </c>
      <c r="F528" s="908">
        <v>9886455</v>
      </c>
      <c r="G528" s="910" t="s">
        <v>2402</v>
      </c>
      <c r="H528" s="910" t="s">
        <v>2403</v>
      </c>
      <c r="I528" s="911" t="s">
        <v>1406</v>
      </c>
      <c r="J528" s="911" t="s">
        <v>1411</v>
      </c>
      <c r="K528" s="879">
        <v>1</v>
      </c>
      <c r="L528" s="878">
        <v>6</v>
      </c>
      <c r="M528" s="880">
        <v>72083.33</v>
      </c>
      <c r="N528" s="879">
        <v>0</v>
      </c>
      <c r="O528" s="878" t="s">
        <v>2731</v>
      </c>
      <c r="P528" s="880">
        <v>0</v>
      </c>
    </row>
    <row r="529" spans="1:16" ht="24">
      <c r="A529" s="924" t="s">
        <v>2732</v>
      </c>
      <c r="B529" s="908" t="s">
        <v>1402</v>
      </c>
      <c r="C529" s="908" t="s">
        <v>96</v>
      </c>
      <c r="D529" s="910" t="s">
        <v>2404</v>
      </c>
      <c r="E529" s="917">
        <v>8000</v>
      </c>
      <c r="F529" s="908">
        <v>42564035</v>
      </c>
      <c r="G529" s="910" t="s">
        <v>2405</v>
      </c>
      <c r="H529" s="910" t="s">
        <v>1458</v>
      </c>
      <c r="I529" s="911" t="s">
        <v>1480</v>
      </c>
      <c r="J529" s="911" t="s">
        <v>1420</v>
      </c>
      <c r="K529" s="879">
        <v>1</v>
      </c>
      <c r="L529" s="878">
        <v>4</v>
      </c>
      <c r="M529" s="880">
        <v>30933.33</v>
      </c>
      <c r="N529" s="879">
        <v>1</v>
      </c>
      <c r="O529" s="878">
        <v>6</v>
      </c>
      <c r="P529" s="880">
        <v>48000</v>
      </c>
    </row>
    <row r="530" spans="1:16" ht="15.95" customHeight="1">
      <c r="A530" s="924" t="s">
        <v>2732</v>
      </c>
      <c r="B530" s="908" t="s">
        <v>1402</v>
      </c>
      <c r="C530" s="908" t="s">
        <v>96</v>
      </c>
      <c r="D530" s="910" t="s">
        <v>2394</v>
      </c>
      <c r="E530" s="917">
        <v>7000</v>
      </c>
      <c r="F530" s="908">
        <v>10676136</v>
      </c>
      <c r="G530" s="910" t="s">
        <v>2406</v>
      </c>
      <c r="H530" s="910" t="s">
        <v>1504</v>
      </c>
      <c r="I530" s="911" t="s">
        <v>1406</v>
      </c>
      <c r="J530" s="911" t="s">
        <v>1411</v>
      </c>
      <c r="K530" s="879">
        <v>1</v>
      </c>
      <c r="L530" s="878">
        <v>6</v>
      </c>
      <c r="M530" s="880">
        <v>40366.67</v>
      </c>
      <c r="N530" s="879">
        <v>1</v>
      </c>
      <c r="O530" s="878">
        <v>3</v>
      </c>
      <c r="P530" s="880">
        <v>15400</v>
      </c>
    </row>
    <row r="531" spans="1:16" ht="15.95" customHeight="1">
      <c r="A531" s="924" t="s">
        <v>2732</v>
      </c>
      <c r="B531" s="908" t="s">
        <v>1402</v>
      </c>
      <c r="C531" s="908" t="s">
        <v>96</v>
      </c>
      <c r="D531" s="910" t="s">
        <v>2407</v>
      </c>
      <c r="E531" s="917">
        <v>10500</v>
      </c>
      <c r="F531" s="908">
        <v>9904421</v>
      </c>
      <c r="G531" s="910" t="s">
        <v>2408</v>
      </c>
      <c r="H531" s="910" t="s">
        <v>2409</v>
      </c>
      <c r="I531" s="911" t="s">
        <v>1406</v>
      </c>
      <c r="J531" s="911" t="s">
        <v>1420</v>
      </c>
      <c r="K531" s="879">
        <v>1</v>
      </c>
      <c r="L531" s="878">
        <v>4</v>
      </c>
      <c r="M531" s="880">
        <v>40363.020000000004</v>
      </c>
      <c r="N531" s="879">
        <v>1</v>
      </c>
      <c r="O531" s="878">
        <v>6</v>
      </c>
      <c r="P531" s="880">
        <v>62650</v>
      </c>
    </row>
    <row r="532" spans="1:16" ht="15.95" customHeight="1">
      <c r="A532" s="924" t="s">
        <v>2732</v>
      </c>
      <c r="B532" s="908" t="s">
        <v>1402</v>
      </c>
      <c r="C532" s="908" t="s">
        <v>96</v>
      </c>
      <c r="D532" s="910" t="s">
        <v>1816</v>
      </c>
      <c r="E532" s="917">
        <v>10000</v>
      </c>
      <c r="F532" s="908">
        <v>43095552</v>
      </c>
      <c r="G532" s="910" t="s">
        <v>2410</v>
      </c>
      <c r="H532" s="910" t="s">
        <v>1410</v>
      </c>
      <c r="I532" s="911" t="s">
        <v>1406</v>
      </c>
      <c r="J532" s="911" t="s">
        <v>1411</v>
      </c>
      <c r="K532" s="879">
        <v>1</v>
      </c>
      <c r="L532" s="878">
        <v>4</v>
      </c>
      <c r="M532" s="880">
        <v>40000</v>
      </c>
      <c r="N532" s="879">
        <v>0</v>
      </c>
      <c r="O532" s="878" t="s">
        <v>2731</v>
      </c>
      <c r="P532" s="880">
        <v>0</v>
      </c>
    </row>
    <row r="533" spans="1:16" ht="24">
      <c r="A533" s="924" t="s">
        <v>2732</v>
      </c>
      <c r="B533" s="908" t="s">
        <v>1402</v>
      </c>
      <c r="C533" s="908" t="s">
        <v>96</v>
      </c>
      <c r="D533" s="910" t="s">
        <v>1683</v>
      </c>
      <c r="E533" s="917">
        <v>4000</v>
      </c>
      <c r="F533" s="908">
        <v>73149593</v>
      </c>
      <c r="G533" s="910" t="s">
        <v>2411</v>
      </c>
      <c r="H533" s="910" t="s">
        <v>1417</v>
      </c>
      <c r="I533" s="911" t="s">
        <v>1420</v>
      </c>
      <c r="J533" s="911" t="s">
        <v>1420</v>
      </c>
      <c r="K533" s="879">
        <v>1</v>
      </c>
      <c r="L533" s="878">
        <v>3</v>
      </c>
      <c r="M533" s="880">
        <v>17600</v>
      </c>
      <c r="N533" s="879">
        <v>1</v>
      </c>
      <c r="O533" s="878">
        <v>6</v>
      </c>
      <c r="P533" s="880">
        <v>24000</v>
      </c>
    </row>
    <row r="534" spans="1:16" ht="15.95" customHeight="1">
      <c r="A534" s="924" t="s">
        <v>2732</v>
      </c>
      <c r="B534" s="908" t="s">
        <v>1402</v>
      </c>
      <c r="C534" s="908" t="s">
        <v>96</v>
      </c>
      <c r="D534" s="910" t="s">
        <v>1548</v>
      </c>
      <c r="E534" s="917">
        <v>15600</v>
      </c>
      <c r="F534" s="908">
        <v>10667542</v>
      </c>
      <c r="G534" s="910" t="s">
        <v>2412</v>
      </c>
      <c r="H534" s="910" t="s">
        <v>1442</v>
      </c>
      <c r="I534" s="911" t="s">
        <v>1406</v>
      </c>
      <c r="J534" s="911" t="s">
        <v>1411</v>
      </c>
      <c r="K534" s="879">
        <v>0</v>
      </c>
      <c r="L534" s="878" t="s">
        <v>2731</v>
      </c>
      <c r="M534" s="880">
        <v>0</v>
      </c>
      <c r="N534" s="879">
        <v>1</v>
      </c>
      <c r="O534" s="878">
        <v>2</v>
      </c>
      <c r="P534" s="880">
        <v>35360</v>
      </c>
    </row>
    <row r="535" spans="1:16" ht="15.95" customHeight="1">
      <c r="A535" s="924" t="s">
        <v>2732</v>
      </c>
      <c r="B535" s="908" t="s">
        <v>1402</v>
      </c>
      <c r="C535" s="908" t="s">
        <v>96</v>
      </c>
      <c r="D535" s="910" t="s">
        <v>2413</v>
      </c>
      <c r="E535" s="917">
        <v>5500</v>
      </c>
      <c r="F535" s="908">
        <v>21576619</v>
      </c>
      <c r="G535" s="910" t="s">
        <v>2414</v>
      </c>
      <c r="H535" s="910" t="s">
        <v>1448</v>
      </c>
      <c r="I535" s="911" t="s">
        <v>1406</v>
      </c>
      <c r="J535" s="911" t="s">
        <v>1420</v>
      </c>
      <c r="K535" s="879">
        <v>1</v>
      </c>
      <c r="L535" s="878">
        <v>9</v>
      </c>
      <c r="M535" s="880">
        <v>49333.24</v>
      </c>
      <c r="N535" s="879">
        <v>1</v>
      </c>
      <c r="O535" s="878">
        <v>6</v>
      </c>
      <c r="P535" s="880">
        <v>33000</v>
      </c>
    </row>
    <row r="536" spans="1:16" ht="15.95" customHeight="1">
      <c r="A536" s="924" t="s">
        <v>2732</v>
      </c>
      <c r="B536" s="908" t="s">
        <v>1402</v>
      </c>
      <c r="C536" s="908" t="s">
        <v>96</v>
      </c>
      <c r="D536" s="910" t="s">
        <v>2415</v>
      </c>
      <c r="E536" s="917">
        <v>15600</v>
      </c>
      <c r="F536" s="908">
        <v>15750074</v>
      </c>
      <c r="G536" s="910" t="s">
        <v>2416</v>
      </c>
      <c r="H536" s="910" t="s">
        <v>1410</v>
      </c>
      <c r="I536" s="911" t="s">
        <v>1406</v>
      </c>
      <c r="J536" s="911" t="s">
        <v>1411</v>
      </c>
      <c r="K536" s="879">
        <v>0</v>
      </c>
      <c r="L536" s="878" t="s">
        <v>2731</v>
      </c>
      <c r="M536" s="880">
        <v>0</v>
      </c>
      <c r="N536" s="879">
        <v>1</v>
      </c>
      <c r="O536" s="878">
        <v>1</v>
      </c>
      <c r="P536" s="880">
        <v>6240</v>
      </c>
    </row>
    <row r="537" spans="1:16" ht="15.95" customHeight="1">
      <c r="A537" s="924" t="s">
        <v>2732</v>
      </c>
      <c r="B537" s="908" t="s">
        <v>1402</v>
      </c>
      <c r="C537" s="908" t="s">
        <v>96</v>
      </c>
      <c r="D537" s="910" t="s">
        <v>2417</v>
      </c>
      <c r="E537" s="917">
        <v>6000</v>
      </c>
      <c r="F537" s="908">
        <v>16708949</v>
      </c>
      <c r="G537" s="910" t="s">
        <v>2418</v>
      </c>
      <c r="H537" s="910" t="s">
        <v>2419</v>
      </c>
      <c r="I537" s="911" t="s">
        <v>1420</v>
      </c>
      <c r="J537" s="911" t="s">
        <v>1420</v>
      </c>
      <c r="K537" s="879">
        <v>1</v>
      </c>
      <c r="L537" s="878">
        <v>6</v>
      </c>
      <c r="M537" s="880">
        <v>34200</v>
      </c>
      <c r="N537" s="879">
        <v>1</v>
      </c>
      <c r="O537" s="878">
        <v>6</v>
      </c>
      <c r="P537" s="880">
        <v>36000</v>
      </c>
    </row>
    <row r="538" spans="1:16" ht="15.95" customHeight="1">
      <c r="A538" s="924" t="s">
        <v>2732</v>
      </c>
      <c r="B538" s="908" t="s">
        <v>1402</v>
      </c>
      <c r="C538" s="908" t="s">
        <v>96</v>
      </c>
      <c r="D538" s="910" t="s">
        <v>1912</v>
      </c>
      <c r="E538" s="917">
        <v>8000</v>
      </c>
      <c r="F538" s="908">
        <v>42805054</v>
      </c>
      <c r="G538" s="910" t="s">
        <v>2420</v>
      </c>
      <c r="H538" s="910" t="s">
        <v>1471</v>
      </c>
      <c r="I538" s="911" t="s">
        <v>1420</v>
      </c>
      <c r="J538" s="911" t="s">
        <v>1411</v>
      </c>
      <c r="K538" s="879">
        <v>1</v>
      </c>
      <c r="L538" s="878">
        <v>12</v>
      </c>
      <c r="M538" s="880">
        <v>76566.66</v>
      </c>
      <c r="N538" s="879">
        <v>1</v>
      </c>
      <c r="O538" s="878">
        <v>6</v>
      </c>
      <c r="P538" s="880">
        <v>48000</v>
      </c>
    </row>
    <row r="539" spans="1:16" ht="24">
      <c r="A539" s="924" t="s">
        <v>2732</v>
      </c>
      <c r="B539" s="908" t="s">
        <v>1402</v>
      </c>
      <c r="C539" s="908" t="s">
        <v>96</v>
      </c>
      <c r="D539" s="910" t="s">
        <v>2421</v>
      </c>
      <c r="E539" s="917">
        <v>12000</v>
      </c>
      <c r="F539" s="908">
        <v>9335581</v>
      </c>
      <c r="G539" s="910" t="s">
        <v>2422</v>
      </c>
      <c r="H539" s="910" t="s">
        <v>1483</v>
      </c>
      <c r="I539" s="911" t="s">
        <v>1406</v>
      </c>
      <c r="J539" s="911" t="s">
        <v>1411</v>
      </c>
      <c r="K539" s="879">
        <v>1</v>
      </c>
      <c r="L539" s="878">
        <v>12</v>
      </c>
      <c r="M539" s="880">
        <v>144300</v>
      </c>
      <c r="N539" s="879">
        <v>1</v>
      </c>
      <c r="O539" s="878">
        <v>6</v>
      </c>
      <c r="P539" s="880">
        <v>72000</v>
      </c>
    </row>
    <row r="540" spans="1:16" ht="15.95" customHeight="1">
      <c r="A540" s="924" t="s">
        <v>2732</v>
      </c>
      <c r="B540" s="908" t="s">
        <v>1402</v>
      </c>
      <c r="C540" s="908" t="s">
        <v>96</v>
      </c>
      <c r="D540" s="910" t="s">
        <v>1901</v>
      </c>
      <c r="E540" s="917">
        <v>8500</v>
      </c>
      <c r="F540" s="908">
        <v>21565126</v>
      </c>
      <c r="G540" s="910" t="s">
        <v>2423</v>
      </c>
      <c r="H540" s="910" t="s">
        <v>1943</v>
      </c>
      <c r="I540" s="911" t="s">
        <v>1406</v>
      </c>
      <c r="J540" s="911" t="s">
        <v>1411</v>
      </c>
      <c r="K540" s="879">
        <v>1</v>
      </c>
      <c r="L540" s="878">
        <v>12</v>
      </c>
      <c r="M540" s="880">
        <v>102300</v>
      </c>
      <c r="N540" s="879">
        <v>1</v>
      </c>
      <c r="O540" s="878">
        <v>6</v>
      </c>
      <c r="P540" s="880">
        <v>51000</v>
      </c>
    </row>
    <row r="541" spans="1:16" ht="15.95" customHeight="1">
      <c r="A541" s="924" t="s">
        <v>2732</v>
      </c>
      <c r="B541" s="908" t="s">
        <v>1402</v>
      </c>
      <c r="C541" s="908" t="s">
        <v>96</v>
      </c>
      <c r="D541" s="910" t="s">
        <v>2265</v>
      </c>
      <c r="E541" s="917">
        <v>8000</v>
      </c>
      <c r="F541" s="908">
        <v>6609860</v>
      </c>
      <c r="G541" s="910" t="s">
        <v>2424</v>
      </c>
      <c r="H541" s="910" t="s">
        <v>1468</v>
      </c>
      <c r="I541" s="911" t="s">
        <v>1406</v>
      </c>
      <c r="J541" s="911" t="s">
        <v>1411</v>
      </c>
      <c r="K541" s="879">
        <v>1</v>
      </c>
      <c r="L541" s="878">
        <v>12</v>
      </c>
      <c r="M541" s="880">
        <v>96158.73</v>
      </c>
      <c r="N541" s="879">
        <v>1</v>
      </c>
      <c r="O541" s="878">
        <v>6</v>
      </c>
      <c r="P541" s="880">
        <v>48000</v>
      </c>
    </row>
    <row r="542" spans="1:16" ht="15.95" customHeight="1">
      <c r="A542" s="924" t="s">
        <v>2732</v>
      </c>
      <c r="B542" s="908" t="s">
        <v>1402</v>
      </c>
      <c r="C542" s="908" t="s">
        <v>96</v>
      </c>
      <c r="D542" s="910" t="s">
        <v>2425</v>
      </c>
      <c r="E542" s="917">
        <v>7000</v>
      </c>
      <c r="F542" s="908">
        <v>18121497</v>
      </c>
      <c r="G542" s="910" t="s">
        <v>2426</v>
      </c>
      <c r="H542" s="910" t="s">
        <v>2409</v>
      </c>
      <c r="I542" s="911" t="s">
        <v>1406</v>
      </c>
      <c r="J542" s="911" t="s">
        <v>1411</v>
      </c>
      <c r="K542" s="879">
        <v>1</v>
      </c>
      <c r="L542" s="878">
        <v>12</v>
      </c>
      <c r="M542" s="880">
        <v>83589.069999999992</v>
      </c>
      <c r="N542" s="879">
        <v>1</v>
      </c>
      <c r="O542" s="878">
        <v>6</v>
      </c>
      <c r="P542" s="880">
        <v>41766.67</v>
      </c>
    </row>
    <row r="543" spans="1:16" ht="24">
      <c r="A543" s="924" t="s">
        <v>2732</v>
      </c>
      <c r="B543" s="908" t="s">
        <v>1402</v>
      </c>
      <c r="C543" s="908" t="s">
        <v>96</v>
      </c>
      <c r="D543" s="910" t="s">
        <v>1814</v>
      </c>
      <c r="E543" s="917">
        <v>3500</v>
      </c>
      <c r="F543" s="908">
        <v>32118491</v>
      </c>
      <c r="G543" s="910" t="s">
        <v>2427</v>
      </c>
      <c r="H543" s="910" t="s">
        <v>1451</v>
      </c>
      <c r="I543" s="911" t="s">
        <v>1424</v>
      </c>
      <c r="J543" s="911" t="s">
        <v>1679</v>
      </c>
      <c r="K543" s="879">
        <v>1</v>
      </c>
      <c r="L543" s="878">
        <v>12</v>
      </c>
      <c r="M543" s="880">
        <v>42300</v>
      </c>
      <c r="N543" s="879">
        <v>1</v>
      </c>
      <c r="O543" s="878">
        <v>6</v>
      </c>
      <c r="P543" s="880">
        <v>21000</v>
      </c>
    </row>
    <row r="544" spans="1:16" ht="15.95" customHeight="1">
      <c r="A544" s="924" t="s">
        <v>2732</v>
      </c>
      <c r="B544" s="908" t="s">
        <v>1402</v>
      </c>
      <c r="C544" s="908" t="s">
        <v>96</v>
      </c>
      <c r="D544" s="910" t="s">
        <v>1693</v>
      </c>
      <c r="E544" s="917">
        <v>15600</v>
      </c>
      <c r="F544" s="908">
        <v>9334334</v>
      </c>
      <c r="G544" s="910" t="s">
        <v>2428</v>
      </c>
      <c r="H544" s="910" t="s">
        <v>1410</v>
      </c>
      <c r="I544" s="911" t="s">
        <v>1406</v>
      </c>
      <c r="J544" s="911" t="s">
        <v>1411</v>
      </c>
      <c r="K544" s="879">
        <v>1</v>
      </c>
      <c r="L544" s="878">
        <v>6</v>
      </c>
      <c r="M544" s="880">
        <v>140180</v>
      </c>
      <c r="N544" s="879">
        <v>0</v>
      </c>
      <c r="O544" s="878" t="s">
        <v>2731</v>
      </c>
      <c r="P544" s="880">
        <v>0</v>
      </c>
    </row>
    <row r="545" spans="1:16" ht="15.95" customHeight="1">
      <c r="A545" s="924" t="s">
        <v>2732</v>
      </c>
      <c r="B545" s="908" t="s">
        <v>1402</v>
      </c>
      <c r="C545" s="908" t="s">
        <v>96</v>
      </c>
      <c r="D545" s="910" t="s">
        <v>1816</v>
      </c>
      <c r="E545" s="917">
        <v>9000</v>
      </c>
      <c r="F545" s="908">
        <v>41146433</v>
      </c>
      <c r="G545" s="910" t="s">
        <v>2429</v>
      </c>
      <c r="H545" s="910" t="s">
        <v>1423</v>
      </c>
      <c r="I545" s="911" t="s">
        <v>1406</v>
      </c>
      <c r="J545" s="911" t="s">
        <v>1420</v>
      </c>
      <c r="K545" s="879">
        <v>1</v>
      </c>
      <c r="L545" s="878">
        <v>6</v>
      </c>
      <c r="M545" s="880">
        <v>51900</v>
      </c>
      <c r="N545" s="879">
        <v>1</v>
      </c>
      <c r="O545" s="878">
        <v>6</v>
      </c>
      <c r="P545" s="880">
        <v>54000</v>
      </c>
    </row>
    <row r="546" spans="1:16" ht="15.95" customHeight="1">
      <c r="A546" s="924" t="s">
        <v>2732</v>
      </c>
      <c r="B546" s="908" t="s">
        <v>1402</v>
      </c>
      <c r="C546" s="908" t="s">
        <v>96</v>
      </c>
      <c r="D546" s="910" t="s">
        <v>1816</v>
      </c>
      <c r="E546" s="917">
        <v>9000</v>
      </c>
      <c r="F546" s="908">
        <v>41359949</v>
      </c>
      <c r="G546" s="910" t="s">
        <v>2430</v>
      </c>
      <c r="H546" s="910" t="s">
        <v>1410</v>
      </c>
      <c r="I546" s="911" t="s">
        <v>1406</v>
      </c>
      <c r="J546" s="911" t="s">
        <v>1420</v>
      </c>
      <c r="K546" s="879">
        <v>1</v>
      </c>
      <c r="L546" s="878">
        <v>6</v>
      </c>
      <c r="M546" s="880">
        <v>51900</v>
      </c>
      <c r="N546" s="879">
        <v>1</v>
      </c>
      <c r="O546" s="878">
        <v>6</v>
      </c>
      <c r="P546" s="880">
        <v>54000</v>
      </c>
    </row>
    <row r="547" spans="1:16" ht="15.95" customHeight="1">
      <c r="A547" s="924" t="s">
        <v>2732</v>
      </c>
      <c r="B547" s="908" t="s">
        <v>1402</v>
      </c>
      <c r="C547" s="908" t="s">
        <v>96</v>
      </c>
      <c r="D547" s="910" t="s">
        <v>2431</v>
      </c>
      <c r="E547" s="917">
        <v>8500</v>
      </c>
      <c r="F547" s="908">
        <v>28295744</v>
      </c>
      <c r="G547" s="910" t="s">
        <v>2432</v>
      </c>
      <c r="H547" s="910" t="s">
        <v>1483</v>
      </c>
      <c r="I547" s="911" t="s">
        <v>1406</v>
      </c>
      <c r="J547" s="911" t="s">
        <v>1420</v>
      </c>
      <c r="K547" s="879">
        <v>1</v>
      </c>
      <c r="L547" s="878">
        <v>2</v>
      </c>
      <c r="M547" s="880">
        <v>16150</v>
      </c>
      <c r="N547" s="879">
        <v>1</v>
      </c>
      <c r="O547" s="878">
        <v>5</v>
      </c>
      <c r="P547" s="880">
        <v>42500</v>
      </c>
    </row>
    <row r="548" spans="1:16" ht="24">
      <c r="A548" s="924" t="s">
        <v>2732</v>
      </c>
      <c r="B548" s="908" t="s">
        <v>1402</v>
      </c>
      <c r="C548" s="908" t="s">
        <v>96</v>
      </c>
      <c r="D548" s="910" t="s">
        <v>2433</v>
      </c>
      <c r="E548" s="917">
        <v>13000</v>
      </c>
      <c r="F548" s="908">
        <v>10613577</v>
      </c>
      <c r="G548" s="910" t="s">
        <v>2434</v>
      </c>
      <c r="H548" s="910" t="s">
        <v>1455</v>
      </c>
      <c r="I548" s="911" t="s">
        <v>1406</v>
      </c>
      <c r="J548" s="911" t="s">
        <v>1411</v>
      </c>
      <c r="K548" s="879">
        <v>1</v>
      </c>
      <c r="L548" s="878">
        <v>12</v>
      </c>
      <c r="M548" s="880">
        <v>156300</v>
      </c>
      <c r="N548" s="879">
        <v>1</v>
      </c>
      <c r="O548" s="878">
        <v>6</v>
      </c>
      <c r="P548" s="880">
        <v>78000</v>
      </c>
    </row>
    <row r="549" spans="1:16" ht="15.95" customHeight="1">
      <c r="A549" s="924" t="s">
        <v>2732</v>
      </c>
      <c r="B549" s="908" t="s">
        <v>1402</v>
      </c>
      <c r="C549" s="908" t="s">
        <v>96</v>
      </c>
      <c r="D549" s="910" t="s">
        <v>2435</v>
      </c>
      <c r="E549" s="917">
        <v>2600</v>
      </c>
      <c r="F549" s="908">
        <v>9127289</v>
      </c>
      <c r="G549" s="910" t="s">
        <v>2436</v>
      </c>
      <c r="H549" s="910" t="s">
        <v>1451</v>
      </c>
      <c r="I549" s="911" t="s">
        <v>1424</v>
      </c>
      <c r="J549" s="911" t="s">
        <v>1679</v>
      </c>
      <c r="K549" s="879">
        <v>1</v>
      </c>
      <c r="L549" s="878">
        <v>12</v>
      </c>
      <c r="M549" s="880">
        <v>31413.33</v>
      </c>
      <c r="N549" s="879">
        <v>1</v>
      </c>
      <c r="O549" s="878">
        <v>6</v>
      </c>
      <c r="P549" s="880">
        <v>15600</v>
      </c>
    </row>
    <row r="550" spans="1:16" ht="15.95" customHeight="1">
      <c r="A550" s="924" t="s">
        <v>2732</v>
      </c>
      <c r="B550" s="908" t="s">
        <v>1402</v>
      </c>
      <c r="C550" s="908" t="s">
        <v>96</v>
      </c>
      <c r="D550" s="910" t="s">
        <v>2437</v>
      </c>
      <c r="E550" s="917">
        <v>4500</v>
      </c>
      <c r="F550" s="908">
        <v>10070177</v>
      </c>
      <c r="G550" s="910" t="s">
        <v>2438</v>
      </c>
      <c r="H550" s="910" t="s">
        <v>1414</v>
      </c>
      <c r="I550" s="911" t="s">
        <v>1424</v>
      </c>
      <c r="J550" s="911" t="s">
        <v>1411</v>
      </c>
      <c r="K550" s="879">
        <v>1</v>
      </c>
      <c r="L550" s="878">
        <v>12</v>
      </c>
      <c r="M550" s="880">
        <v>54300</v>
      </c>
      <c r="N550" s="879">
        <v>1</v>
      </c>
      <c r="O550" s="878">
        <v>6</v>
      </c>
      <c r="P550" s="880">
        <v>27000</v>
      </c>
    </row>
    <row r="551" spans="1:16" ht="15.95" customHeight="1">
      <c r="A551" s="924" t="s">
        <v>2732</v>
      </c>
      <c r="B551" s="908" t="s">
        <v>1402</v>
      </c>
      <c r="C551" s="908" t="s">
        <v>96</v>
      </c>
      <c r="D551" s="910" t="s">
        <v>1408</v>
      </c>
      <c r="E551" s="917">
        <v>8500</v>
      </c>
      <c r="F551" s="908">
        <v>10728338</v>
      </c>
      <c r="G551" s="910" t="s">
        <v>2439</v>
      </c>
      <c r="H551" s="910" t="s">
        <v>1410</v>
      </c>
      <c r="I551" s="911" t="s">
        <v>1406</v>
      </c>
      <c r="J551" s="911" t="s">
        <v>1411</v>
      </c>
      <c r="K551" s="879">
        <v>1</v>
      </c>
      <c r="L551" s="878">
        <v>8</v>
      </c>
      <c r="M551" s="880">
        <v>71204.679999999993</v>
      </c>
      <c r="N551" s="879">
        <v>1</v>
      </c>
      <c r="O551" s="878">
        <v>6</v>
      </c>
      <c r="P551" s="880">
        <v>51000</v>
      </c>
    </row>
    <row r="552" spans="1:16" ht="15.95" customHeight="1">
      <c r="A552" s="924" t="s">
        <v>2732</v>
      </c>
      <c r="B552" s="908" t="s">
        <v>1402</v>
      </c>
      <c r="C552" s="908" t="s">
        <v>96</v>
      </c>
      <c r="D552" s="910" t="s">
        <v>2440</v>
      </c>
      <c r="E552" s="917">
        <v>13000</v>
      </c>
      <c r="F552" s="908">
        <v>43575068</v>
      </c>
      <c r="G552" s="910" t="s">
        <v>2441</v>
      </c>
      <c r="H552" s="910" t="s">
        <v>1410</v>
      </c>
      <c r="I552" s="911" t="s">
        <v>1406</v>
      </c>
      <c r="J552" s="911" t="s">
        <v>1411</v>
      </c>
      <c r="K552" s="879">
        <v>1</v>
      </c>
      <c r="L552" s="878">
        <v>2</v>
      </c>
      <c r="M552" s="880">
        <v>15600</v>
      </c>
      <c r="N552" s="879">
        <v>0</v>
      </c>
      <c r="O552" s="878" t="s">
        <v>2731</v>
      </c>
      <c r="P552" s="880">
        <v>0</v>
      </c>
    </row>
    <row r="553" spans="1:16" ht="15.95" customHeight="1">
      <c r="A553" s="924" t="s">
        <v>2732</v>
      </c>
      <c r="B553" s="908" t="s">
        <v>1402</v>
      </c>
      <c r="C553" s="908" t="s">
        <v>96</v>
      </c>
      <c r="D553" s="910" t="s">
        <v>2442</v>
      </c>
      <c r="E553" s="917">
        <v>7000</v>
      </c>
      <c r="F553" s="908">
        <v>31920222</v>
      </c>
      <c r="G553" s="910" t="s">
        <v>2443</v>
      </c>
      <c r="H553" s="910" t="s">
        <v>1471</v>
      </c>
      <c r="I553" s="911" t="s">
        <v>1406</v>
      </c>
      <c r="J553" s="911" t="s">
        <v>1420</v>
      </c>
      <c r="K553" s="879">
        <v>1</v>
      </c>
      <c r="L553" s="878">
        <v>9</v>
      </c>
      <c r="M553" s="880">
        <v>62966.57</v>
      </c>
      <c r="N553" s="879">
        <v>1</v>
      </c>
      <c r="O553" s="878">
        <v>6</v>
      </c>
      <c r="P553" s="880">
        <v>42000</v>
      </c>
    </row>
    <row r="554" spans="1:16" ht="15.95" customHeight="1">
      <c r="A554" s="924" t="s">
        <v>2732</v>
      </c>
      <c r="B554" s="908" t="s">
        <v>1402</v>
      </c>
      <c r="C554" s="908" t="s">
        <v>96</v>
      </c>
      <c r="D554" s="910" t="s">
        <v>2444</v>
      </c>
      <c r="E554" s="917">
        <v>2500</v>
      </c>
      <c r="F554" s="908">
        <v>70859978</v>
      </c>
      <c r="G554" s="910" t="s">
        <v>2445</v>
      </c>
      <c r="H554" s="910" t="s">
        <v>1477</v>
      </c>
      <c r="I554" s="911" t="s">
        <v>1406</v>
      </c>
      <c r="J554" s="911" t="s">
        <v>1407</v>
      </c>
      <c r="K554" s="879">
        <v>1</v>
      </c>
      <c r="L554" s="878">
        <v>2</v>
      </c>
      <c r="M554" s="880">
        <v>3916.67</v>
      </c>
      <c r="N554" s="879">
        <v>1</v>
      </c>
      <c r="O554" s="878">
        <v>6</v>
      </c>
      <c r="P554" s="880">
        <v>15000</v>
      </c>
    </row>
    <row r="555" spans="1:16" ht="15.95" customHeight="1">
      <c r="A555" s="924" t="s">
        <v>2732</v>
      </c>
      <c r="B555" s="908" t="s">
        <v>1402</v>
      </c>
      <c r="C555" s="908" t="s">
        <v>96</v>
      </c>
      <c r="D555" s="910" t="s">
        <v>1541</v>
      </c>
      <c r="E555" s="917">
        <v>8000</v>
      </c>
      <c r="F555" s="908">
        <v>41142252</v>
      </c>
      <c r="G555" s="910" t="s">
        <v>2446</v>
      </c>
      <c r="H555" s="910" t="s">
        <v>1410</v>
      </c>
      <c r="I555" s="911" t="s">
        <v>1406</v>
      </c>
      <c r="J555" s="911" t="s">
        <v>1411</v>
      </c>
      <c r="K555" s="879">
        <v>1</v>
      </c>
      <c r="L555" s="878">
        <v>3</v>
      </c>
      <c r="M555" s="880">
        <v>21600</v>
      </c>
      <c r="N555" s="879">
        <v>0</v>
      </c>
      <c r="O555" s="878" t="s">
        <v>2731</v>
      </c>
      <c r="P555" s="880">
        <v>0</v>
      </c>
    </row>
    <row r="556" spans="1:16" ht="15.95" customHeight="1">
      <c r="A556" s="924" t="s">
        <v>2732</v>
      </c>
      <c r="B556" s="908" t="s">
        <v>1402</v>
      </c>
      <c r="C556" s="908" t="s">
        <v>96</v>
      </c>
      <c r="D556" s="910" t="s">
        <v>1754</v>
      </c>
      <c r="E556" s="917">
        <v>11000</v>
      </c>
      <c r="F556" s="908">
        <v>7759612</v>
      </c>
      <c r="G556" s="910" t="s">
        <v>2447</v>
      </c>
      <c r="H556" s="910" t="s">
        <v>1410</v>
      </c>
      <c r="I556" s="911" t="s">
        <v>1420</v>
      </c>
      <c r="J556" s="911" t="s">
        <v>1411</v>
      </c>
      <c r="K556" s="879">
        <v>1</v>
      </c>
      <c r="L556" s="878">
        <v>12</v>
      </c>
      <c r="M556" s="880">
        <v>132300</v>
      </c>
      <c r="N556" s="879">
        <v>1</v>
      </c>
      <c r="O556" s="878">
        <v>6</v>
      </c>
      <c r="P556" s="880">
        <v>66000</v>
      </c>
    </row>
    <row r="557" spans="1:16" ht="15.95" customHeight="1">
      <c r="A557" s="924" t="s">
        <v>2732</v>
      </c>
      <c r="B557" s="908" t="s">
        <v>1402</v>
      </c>
      <c r="C557" s="908" t="s">
        <v>96</v>
      </c>
      <c r="D557" s="910" t="s">
        <v>1758</v>
      </c>
      <c r="E557" s="917">
        <v>9000</v>
      </c>
      <c r="F557" s="908">
        <v>41795673</v>
      </c>
      <c r="G557" s="910" t="s">
        <v>2448</v>
      </c>
      <c r="H557" s="910" t="s">
        <v>1461</v>
      </c>
      <c r="I557" s="911" t="s">
        <v>1406</v>
      </c>
      <c r="J557" s="911" t="s">
        <v>1420</v>
      </c>
      <c r="K557" s="879">
        <v>1</v>
      </c>
      <c r="L557" s="878">
        <v>4</v>
      </c>
      <c r="M557" s="880">
        <v>34800</v>
      </c>
      <c r="N557" s="879">
        <v>1</v>
      </c>
      <c r="O557" s="878">
        <v>6</v>
      </c>
      <c r="P557" s="880">
        <v>53981.25</v>
      </c>
    </row>
    <row r="558" spans="1:16" ht="24">
      <c r="A558" s="924" t="s">
        <v>2732</v>
      </c>
      <c r="B558" s="908" t="s">
        <v>1402</v>
      </c>
      <c r="C558" s="908" t="s">
        <v>96</v>
      </c>
      <c r="D558" s="910" t="s">
        <v>1608</v>
      </c>
      <c r="E558" s="917">
        <v>7000</v>
      </c>
      <c r="F558" s="908">
        <v>42084078</v>
      </c>
      <c r="G558" s="910" t="s">
        <v>2449</v>
      </c>
      <c r="H558" s="910" t="s">
        <v>1410</v>
      </c>
      <c r="I558" s="911" t="s">
        <v>1406</v>
      </c>
      <c r="J558" s="911" t="s">
        <v>1411</v>
      </c>
      <c r="K558" s="879">
        <v>1</v>
      </c>
      <c r="L558" s="878">
        <v>10</v>
      </c>
      <c r="M558" s="880">
        <v>61883.19</v>
      </c>
      <c r="N558" s="879">
        <v>1</v>
      </c>
      <c r="O558" s="878">
        <v>6</v>
      </c>
      <c r="P558" s="880">
        <v>42000</v>
      </c>
    </row>
    <row r="559" spans="1:16" ht="15.95" customHeight="1">
      <c r="A559" s="924" t="s">
        <v>2732</v>
      </c>
      <c r="B559" s="908" t="s">
        <v>1402</v>
      </c>
      <c r="C559" s="908" t="s">
        <v>96</v>
      </c>
      <c r="D559" s="910" t="s">
        <v>2450</v>
      </c>
      <c r="E559" s="917">
        <v>5000</v>
      </c>
      <c r="F559" s="908">
        <v>45232442</v>
      </c>
      <c r="G559" s="910" t="s">
        <v>2451</v>
      </c>
      <c r="H559" s="910" t="s">
        <v>1483</v>
      </c>
      <c r="I559" s="911" t="s">
        <v>1420</v>
      </c>
      <c r="J559" s="911" t="s">
        <v>1420</v>
      </c>
      <c r="K559" s="879">
        <v>1</v>
      </c>
      <c r="L559" s="878">
        <v>6</v>
      </c>
      <c r="M559" s="880">
        <v>28833.33</v>
      </c>
      <c r="N559" s="879">
        <v>1</v>
      </c>
      <c r="O559" s="878">
        <v>6</v>
      </c>
      <c r="P559" s="880">
        <v>30000</v>
      </c>
    </row>
    <row r="560" spans="1:16" ht="24">
      <c r="A560" s="924" t="s">
        <v>2732</v>
      </c>
      <c r="B560" s="908" t="s">
        <v>1402</v>
      </c>
      <c r="C560" s="908" t="s">
        <v>96</v>
      </c>
      <c r="D560" s="910" t="s">
        <v>2452</v>
      </c>
      <c r="E560" s="917">
        <v>8500</v>
      </c>
      <c r="F560" s="908">
        <v>7811043</v>
      </c>
      <c r="G560" s="910" t="s">
        <v>2453</v>
      </c>
      <c r="H560" s="910" t="s">
        <v>2454</v>
      </c>
      <c r="I560" s="911" t="s">
        <v>1406</v>
      </c>
      <c r="J560" s="911" t="s">
        <v>1411</v>
      </c>
      <c r="K560" s="879">
        <v>1</v>
      </c>
      <c r="L560" s="878">
        <v>12</v>
      </c>
      <c r="M560" s="880">
        <v>102300</v>
      </c>
      <c r="N560" s="879">
        <v>1</v>
      </c>
      <c r="O560" s="878">
        <v>6</v>
      </c>
      <c r="P560" s="880">
        <v>51000</v>
      </c>
    </row>
    <row r="561" spans="1:16" ht="15.95" customHeight="1">
      <c r="A561" s="924" t="s">
        <v>2732</v>
      </c>
      <c r="B561" s="908" t="s">
        <v>1402</v>
      </c>
      <c r="C561" s="908" t="s">
        <v>96</v>
      </c>
      <c r="D561" s="910" t="s">
        <v>2455</v>
      </c>
      <c r="E561" s="917">
        <v>3000</v>
      </c>
      <c r="F561" s="908">
        <v>10535210</v>
      </c>
      <c r="G561" s="910" t="s">
        <v>2456</v>
      </c>
      <c r="H561" s="910" t="s">
        <v>1811</v>
      </c>
      <c r="I561" s="911" t="s">
        <v>1452</v>
      </c>
      <c r="J561" s="911" t="s">
        <v>1407</v>
      </c>
      <c r="K561" s="879">
        <v>1</v>
      </c>
      <c r="L561" s="878">
        <v>12</v>
      </c>
      <c r="M561" s="880">
        <v>35400.44</v>
      </c>
      <c r="N561" s="879">
        <v>1</v>
      </c>
      <c r="O561" s="878">
        <v>6</v>
      </c>
      <c r="P561" s="880">
        <v>17903.330000000002</v>
      </c>
    </row>
    <row r="562" spans="1:16" ht="15.95" customHeight="1">
      <c r="A562" s="924" t="s">
        <v>2732</v>
      </c>
      <c r="B562" s="908" t="s">
        <v>1402</v>
      </c>
      <c r="C562" s="908" t="s">
        <v>96</v>
      </c>
      <c r="D562" s="910" t="s">
        <v>1698</v>
      </c>
      <c r="E562" s="917">
        <v>7000</v>
      </c>
      <c r="F562" s="908">
        <v>10279659</v>
      </c>
      <c r="G562" s="910" t="s">
        <v>2457</v>
      </c>
      <c r="H562" s="910" t="s">
        <v>1410</v>
      </c>
      <c r="I562" s="911" t="s">
        <v>1406</v>
      </c>
      <c r="J562" s="911" t="s">
        <v>1411</v>
      </c>
      <c r="K562" s="879">
        <v>1</v>
      </c>
      <c r="L562" s="878">
        <v>6</v>
      </c>
      <c r="M562" s="880">
        <v>40366.67</v>
      </c>
      <c r="N562" s="879">
        <v>0</v>
      </c>
      <c r="O562" s="878" t="s">
        <v>2731</v>
      </c>
      <c r="P562" s="880">
        <v>0</v>
      </c>
    </row>
    <row r="563" spans="1:16" ht="24">
      <c r="A563" s="924" t="s">
        <v>2732</v>
      </c>
      <c r="B563" s="908" t="s">
        <v>1402</v>
      </c>
      <c r="C563" s="908" t="s">
        <v>96</v>
      </c>
      <c r="D563" s="910" t="s">
        <v>1533</v>
      </c>
      <c r="E563" s="917">
        <v>8000</v>
      </c>
      <c r="F563" s="908">
        <v>40681974</v>
      </c>
      <c r="G563" s="910" t="s">
        <v>2458</v>
      </c>
      <c r="H563" s="910" t="s">
        <v>1410</v>
      </c>
      <c r="I563" s="911" t="s">
        <v>1420</v>
      </c>
      <c r="J563" s="911" t="s">
        <v>1411</v>
      </c>
      <c r="K563" s="879">
        <v>1</v>
      </c>
      <c r="L563" s="878">
        <v>12</v>
      </c>
      <c r="M563" s="880">
        <v>96300</v>
      </c>
      <c r="N563" s="879">
        <v>1</v>
      </c>
      <c r="O563" s="878">
        <v>3</v>
      </c>
      <c r="P563" s="880">
        <v>24000</v>
      </c>
    </row>
    <row r="564" spans="1:16" ht="24">
      <c r="A564" s="924" t="s">
        <v>2732</v>
      </c>
      <c r="B564" s="908" t="s">
        <v>1402</v>
      </c>
      <c r="C564" s="908" t="s">
        <v>96</v>
      </c>
      <c r="D564" s="910" t="s">
        <v>2459</v>
      </c>
      <c r="E564" s="917">
        <v>8000</v>
      </c>
      <c r="F564" s="908">
        <v>40777511</v>
      </c>
      <c r="G564" s="910" t="s">
        <v>2460</v>
      </c>
      <c r="H564" s="910" t="s">
        <v>1584</v>
      </c>
      <c r="I564" s="911" t="s">
        <v>1406</v>
      </c>
      <c r="J564" s="911" t="s">
        <v>1411</v>
      </c>
      <c r="K564" s="879">
        <v>1</v>
      </c>
      <c r="L564" s="878">
        <v>12</v>
      </c>
      <c r="M564" s="880">
        <v>96300</v>
      </c>
      <c r="N564" s="879">
        <v>1</v>
      </c>
      <c r="O564" s="878">
        <v>6</v>
      </c>
      <c r="P564" s="880">
        <v>48000</v>
      </c>
    </row>
    <row r="565" spans="1:16" ht="15.95" customHeight="1">
      <c r="A565" s="924" t="s">
        <v>2732</v>
      </c>
      <c r="B565" s="908" t="s">
        <v>1402</v>
      </c>
      <c r="C565" s="908" t="s">
        <v>96</v>
      </c>
      <c r="D565" s="910" t="s">
        <v>1462</v>
      </c>
      <c r="E565" s="917">
        <v>2000</v>
      </c>
      <c r="F565" s="908">
        <v>3204932</v>
      </c>
      <c r="G565" s="910" t="s">
        <v>2461</v>
      </c>
      <c r="H565" s="910" t="s">
        <v>1620</v>
      </c>
      <c r="I565" s="911" t="s">
        <v>1424</v>
      </c>
      <c r="J565" s="911" t="s">
        <v>1451</v>
      </c>
      <c r="K565" s="879">
        <v>1</v>
      </c>
      <c r="L565" s="878">
        <v>9</v>
      </c>
      <c r="M565" s="880">
        <v>18300</v>
      </c>
      <c r="N565" s="879">
        <v>0</v>
      </c>
      <c r="O565" s="878" t="s">
        <v>2731</v>
      </c>
      <c r="P565" s="880">
        <v>0</v>
      </c>
    </row>
    <row r="566" spans="1:16" ht="15.95" customHeight="1">
      <c r="A566" s="924" t="s">
        <v>2732</v>
      </c>
      <c r="B566" s="908" t="s">
        <v>1402</v>
      </c>
      <c r="C566" s="908" t="s">
        <v>96</v>
      </c>
      <c r="D566" s="910" t="s">
        <v>1680</v>
      </c>
      <c r="E566" s="917">
        <v>6500</v>
      </c>
      <c r="F566" s="908">
        <v>8268890</v>
      </c>
      <c r="G566" s="910" t="s">
        <v>2462</v>
      </c>
      <c r="H566" s="910" t="s">
        <v>1417</v>
      </c>
      <c r="I566" s="911" t="s">
        <v>1406</v>
      </c>
      <c r="J566" s="911" t="s">
        <v>1411</v>
      </c>
      <c r="K566" s="879">
        <v>1</v>
      </c>
      <c r="L566" s="878">
        <v>12</v>
      </c>
      <c r="M566" s="880">
        <v>77922</v>
      </c>
      <c r="N566" s="879">
        <v>1</v>
      </c>
      <c r="O566" s="878">
        <v>6</v>
      </c>
      <c r="P566" s="880">
        <v>38736.39</v>
      </c>
    </row>
    <row r="567" spans="1:16" ht="15.95" customHeight="1">
      <c r="A567" s="924" t="s">
        <v>2732</v>
      </c>
      <c r="B567" s="908" t="s">
        <v>1402</v>
      </c>
      <c r="C567" s="908" t="s">
        <v>96</v>
      </c>
      <c r="D567" s="910" t="s">
        <v>2463</v>
      </c>
      <c r="E567" s="917">
        <v>12000</v>
      </c>
      <c r="F567" s="908">
        <v>42087247</v>
      </c>
      <c r="G567" s="910" t="s">
        <v>2464</v>
      </c>
      <c r="H567" s="910" t="s">
        <v>1410</v>
      </c>
      <c r="I567" s="911" t="s">
        <v>1406</v>
      </c>
      <c r="J567" s="911" t="s">
        <v>1411</v>
      </c>
      <c r="K567" s="879">
        <v>1</v>
      </c>
      <c r="L567" s="878">
        <v>6</v>
      </c>
      <c r="M567" s="880">
        <v>68800</v>
      </c>
      <c r="N567" s="879">
        <v>1</v>
      </c>
      <c r="O567" s="878">
        <v>1</v>
      </c>
      <c r="P567" s="880">
        <v>12000</v>
      </c>
    </row>
    <row r="568" spans="1:16" ht="24">
      <c r="A568" s="924" t="s">
        <v>2732</v>
      </c>
      <c r="B568" s="908" t="s">
        <v>1402</v>
      </c>
      <c r="C568" s="908" t="s">
        <v>96</v>
      </c>
      <c r="D568" s="910" t="s">
        <v>2465</v>
      </c>
      <c r="E568" s="917">
        <v>13000</v>
      </c>
      <c r="F568" s="908">
        <v>42820447</v>
      </c>
      <c r="G568" s="910" t="s">
        <v>2466</v>
      </c>
      <c r="H568" s="910" t="s">
        <v>1410</v>
      </c>
      <c r="I568" s="911" t="s">
        <v>1406</v>
      </c>
      <c r="J568" s="911" t="s">
        <v>1411</v>
      </c>
      <c r="K568" s="879">
        <v>1</v>
      </c>
      <c r="L568" s="878">
        <v>12</v>
      </c>
      <c r="M568" s="880">
        <v>156300</v>
      </c>
      <c r="N568" s="879">
        <v>1</v>
      </c>
      <c r="O568" s="878">
        <v>6</v>
      </c>
      <c r="P568" s="880">
        <v>78000</v>
      </c>
    </row>
    <row r="569" spans="1:16" ht="24">
      <c r="A569" s="924" t="s">
        <v>2732</v>
      </c>
      <c r="B569" s="908" t="s">
        <v>1402</v>
      </c>
      <c r="C569" s="908" t="s">
        <v>96</v>
      </c>
      <c r="D569" s="910" t="s">
        <v>2467</v>
      </c>
      <c r="E569" s="917">
        <v>9500</v>
      </c>
      <c r="F569" s="908">
        <v>6452841</v>
      </c>
      <c r="G569" s="910" t="s">
        <v>2468</v>
      </c>
      <c r="H569" s="910" t="s">
        <v>1448</v>
      </c>
      <c r="I569" s="911" t="s">
        <v>1406</v>
      </c>
      <c r="J569" s="911" t="s">
        <v>1411</v>
      </c>
      <c r="K569" s="879">
        <v>1</v>
      </c>
      <c r="L569" s="878">
        <v>12</v>
      </c>
      <c r="M569" s="880">
        <v>114300</v>
      </c>
      <c r="N569" s="879">
        <v>1</v>
      </c>
      <c r="O569" s="878">
        <v>6</v>
      </c>
      <c r="P569" s="880">
        <v>57000</v>
      </c>
    </row>
    <row r="570" spans="1:16" ht="24">
      <c r="A570" s="924" t="s">
        <v>2732</v>
      </c>
      <c r="B570" s="908" t="s">
        <v>1402</v>
      </c>
      <c r="C570" s="908" t="s">
        <v>96</v>
      </c>
      <c r="D570" s="910" t="s">
        <v>2469</v>
      </c>
      <c r="E570" s="917">
        <v>6000</v>
      </c>
      <c r="F570" s="908">
        <v>17540698</v>
      </c>
      <c r="G570" s="910" t="s">
        <v>2470</v>
      </c>
      <c r="H570" s="910" t="s">
        <v>2471</v>
      </c>
      <c r="I570" s="911" t="s">
        <v>1406</v>
      </c>
      <c r="J570" s="911" t="s">
        <v>1411</v>
      </c>
      <c r="K570" s="879">
        <v>1</v>
      </c>
      <c r="L570" s="878">
        <v>2</v>
      </c>
      <c r="M570" s="880">
        <v>18000</v>
      </c>
      <c r="N570" s="879">
        <v>0</v>
      </c>
      <c r="O570" s="878" t="s">
        <v>2731</v>
      </c>
      <c r="P570" s="880">
        <v>0</v>
      </c>
    </row>
    <row r="571" spans="1:16" ht="15.95" customHeight="1">
      <c r="A571" s="924" t="s">
        <v>2732</v>
      </c>
      <c r="B571" s="908" t="s">
        <v>1402</v>
      </c>
      <c r="C571" s="908" t="s">
        <v>96</v>
      </c>
      <c r="D571" s="910" t="s">
        <v>1754</v>
      </c>
      <c r="E571" s="917">
        <v>12500</v>
      </c>
      <c r="F571" s="908">
        <v>42961566</v>
      </c>
      <c r="G571" s="910" t="s">
        <v>2472</v>
      </c>
      <c r="H571" s="910" t="s">
        <v>1410</v>
      </c>
      <c r="I571" s="911" t="s">
        <v>1420</v>
      </c>
      <c r="J571" s="911" t="s">
        <v>1411</v>
      </c>
      <c r="K571" s="879">
        <v>1</v>
      </c>
      <c r="L571" s="878">
        <v>12</v>
      </c>
      <c r="M571" s="880">
        <v>150300</v>
      </c>
      <c r="N571" s="879">
        <v>1</v>
      </c>
      <c r="O571" s="878">
        <v>3</v>
      </c>
      <c r="P571" s="880">
        <v>31666.560000000001</v>
      </c>
    </row>
    <row r="572" spans="1:16" ht="15.95" customHeight="1">
      <c r="A572" s="924" t="s">
        <v>2732</v>
      </c>
      <c r="B572" s="908" t="s">
        <v>1402</v>
      </c>
      <c r="C572" s="908" t="s">
        <v>96</v>
      </c>
      <c r="D572" s="910" t="s">
        <v>1548</v>
      </c>
      <c r="E572" s="917">
        <v>15600</v>
      </c>
      <c r="F572" s="908">
        <v>9335886</v>
      </c>
      <c r="G572" s="910" t="s">
        <v>2473</v>
      </c>
      <c r="H572" s="910" t="s">
        <v>1410</v>
      </c>
      <c r="I572" s="911" t="s">
        <v>1406</v>
      </c>
      <c r="J572" s="911" t="s">
        <v>1451</v>
      </c>
      <c r="K572" s="879">
        <v>1</v>
      </c>
      <c r="L572" s="878">
        <v>1</v>
      </c>
      <c r="M572" s="880">
        <v>15600</v>
      </c>
      <c r="N572" s="879">
        <v>0</v>
      </c>
      <c r="O572" s="878" t="s">
        <v>2731</v>
      </c>
      <c r="P572" s="880">
        <v>0</v>
      </c>
    </row>
    <row r="573" spans="1:16" ht="24">
      <c r="A573" s="924" t="s">
        <v>2732</v>
      </c>
      <c r="B573" s="908" t="s">
        <v>1402</v>
      </c>
      <c r="C573" s="908" t="s">
        <v>96</v>
      </c>
      <c r="D573" s="910" t="s">
        <v>1571</v>
      </c>
      <c r="E573" s="917">
        <v>10000</v>
      </c>
      <c r="F573" s="908">
        <v>16785712</v>
      </c>
      <c r="G573" s="910" t="s">
        <v>2474</v>
      </c>
      <c r="H573" s="910" t="s">
        <v>1570</v>
      </c>
      <c r="I573" s="911" t="s">
        <v>1406</v>
      </c>
      <c r="J573" s="911" t="s">
        <v>1411</v>
      </c>
      <c r="K573" s="879">
        <v>0</v>
      </c>
      <c r="L573" s="878" t="s">
        <v>2731</v>
      </c>
      <c r="M573" s="880">
        <v>0</v>
      </c>
      <c r="N573" s="879">
        <v>1</v>
      </c>
      <c r="O573" s="878">
        <v>6</v>
      </c>
      <c r="P573" s="880">
        <v>60000</v>
      </c>
    </row>
    <row r="574" spans="1:16" ht="15.95" customHeight="1">
      <c r="A574" s="924" t="s">
        <v>2732</v>
      </c>
      <c r="B574" s="908" t="s">
        <v>1402</v>
      </c>
      <c r="C574" s="908" t="s">
        <v>96</v>
      </c>
      <c r="D574" s="910" t="s">
        <v>2475</v>
      </c>
      <c r="E574" s="917">
        <v>10000</v>
      </c>
      <c r="F574" s="908">
        <v>6669204</v>
      </c>
      <c r="G574" s="910" t="s">
        <v>2476</v>
      </c>
      <c r="H574" s="910" t="s">
        <v>1423</v>
      </c>
      <c r="I574" s="911" t="s">
        <v>1406</v>
      </c>
      <c r="J574" s="911" t="s">
        <v>1411</v>
      </c>
      <c r="K574" s="879">
        <v>1</v>
      </c>
      <c r="L574" s="878">
        <v>10</v>
      </c>
      <c r="M574" s="880">
        <v>94299.95</v>
      </c>
      <c r="N574" s="879">
        <v>0</v>
      </c>
      <c r="O574" s="878" t="s">
        <v>2731</v>
      </c>
      <c r="P574" s="880">
        <v>0</v>
      </c>
    </row>
    <row r="575" spans="1:16" ht="15.95" customHeight="1">
      <c r="A575" s="924" t="s">
        <v>2732</v>
      </c>
      <c r="B575" s="908" t="s">
        <v>1402</v>
      </c>
      <c r="C575" s="908" t="s">
        <v>96</v>
      </c>
      <c r="D575" s="910" t="s">
        <v>1421</v>
      </c>
      <c r="E575" s="917">
        <v>5000</v>
      </c>
      <c r="F575" s="908">
        <v>10051717</v>
      </c>
      <c r="G575" s="910" t="s">
        <v>2477</v>
      </c>
      <c r="H575" s="910" t="s">
        <v>2478</v>
      </c>
      <c r="I575" s="911" t="s">
        <v>1406</v>
      </c>
      <c r="J575" s="911" t="s">
        <v>1411</v>
      </c>
      <c r="K575" s="879">
        <v>1</v>
      </c>
      <c r="L575" s="878">
        <v>12</v>
      </c>
      <c r="M575" s="880">
        <v>60300</v>
      </c>
      <c r="N575" s="879">
        <v>1</v>
      </c>
      <c r="O575" s="878">
        <v>6</v>
      </c>
      <c r="P575" s="880">
        <v>30000</v>
      </c>
    </row>
    <row r="576" spans="1:16" ht="15.95" customHeight="1">
      <c r="A576" s="924" t="s">
        <v>2732</v>
      </c>
      <c r="B576" s="908" t="s">
        <v>1402</v>
      </c>
      <c r="C576" s="908" t="s">
        <v>96</v>
      </c>
      <c r="D576" s="910" t="s">
        <v>2479</v>
      </c>
      <c r="E576" s="917">
        <v>4000</v>
      </c>
      <c r="F576" s="908">
        <v>71819820</v>
      </c>
      <c r="G576" s="910" t="s">
        <v>2480</v>
      </c>
      <c r="H576" s="910" t="s">
        <v>1410</v>
      </c>
      <c r="I576" s="911" t="s">
        <v>1406</v>
      </c>
      <c r="J576" s="911" t="s">
        <v>1420</v>
      </c>
      <c r="K576" s="879">
        <v>1</v>
      </c>
      <c r="L576" s="878">
        <v>6</v>
      </c>
      <c r="M576" s="880">
        <v>23066.67</v>
      </c>
      <c r="N576" s="879">
        <v>1</v>
      </c>
      <c r="O576" s="878">
        <v>6</v>
      </c>
      <c r="P576" s="880">
        <v>24000</v>
      </c>
    </row>
    <row r="577" spans="1:16" ht="15.95" customHeight="1">
      <c r="A577" s="924" t="s">
        <v>2732</v>
      </c>
      <c r="B577" s="908" t="s">
        <v>1402</v>
      </c>
      <c r="C577" s="908" t="s">
        <v>96</v>
      </c>
      <c r="D577" s="910" t="s">
        <v>1456</v>
      </c>
      <c r="E577" s="917">
        <v>8500</v>
      </c>
      <c r="F577" s="908">
        <v>43746586</v>
      </c>
      <c r="G577" s="910" t="s">
        <v>2481</v>
      </c>
      <c r="H577" s="910" t="s">
        <v>1461</v>
      </c>
      <c r="I577" s="911" t="s">
        <v>1406</v>
      </c>
      <c r="J577" s="911" t="s">
        <v>1411</v>
      </c>
      <c r="K577" s="879">
        <v>1</v>
      </c>
      <c r="L577" s="878">
        <v>12</v>
      </c>
      <c r="M577" s="880">
        <v>102600</v>
      </c>
      <c r="N577" s="879">
        <v>1</v>
      </c>
      <c r="O577" s="878">
        <v>6</v>
      </c>
      <c r="P577" s="880">
        <v>51000</v>
      </c>
    </row>
    <row r="578" spans="1:16" ht="15.95" customHeight="1">
      <c r="A578" s="924" t="s">
        <v>2732</v>
      </c>
      <c r="B578" s="908" t="s">
        <v>1402</v>
      </c>
      <c r="C578" s="908" t="s">
        <v>96</v>
      </c>
      <c r="D578" s="910" t="s">
        <v>1905</v>
      </c>
      <c r="E578" s="917">
        <v>7000</v>
      </c>
      <c r="F578" s="908">
        <v>44767299</v>
      </c>
      <c r="G578" s="910" t="s">
        <v>2482</v>
      </c>
      <c r="H578" s="910" t="s">
        <v>1423</v>
      </c>
      <c r="I578" s="911" t="s">
        <v>1406</v>
      </c>
      <c r="J578" s="911" t="s">
        <v>1420</v>
      </c>
      <c r="K578" s="879">
        <v>1</v>
      </c>
      <c r="L578" s="878">
        <v>2</v>
      </c>
      <c r="M578" s="880">
        <v>10966.67</v>
      </c>
      <c r="N578" s="879">
        <v>1</v>
      </c>
      <c r="O578" s="878">
        <v>3</v>
      </c>
      <c r="P578" s="880">
        <v>16333.3</v>
      </c>
    </row>
    <row r="579" spans="1:16" ht="15.95" customHeight="1">
      <c r="A579" s="924" t="s">
        <v>2732</v>
      </c>
      <c r="B579" s="908" t="s">
        <v>1402</v>
      </c>
      <c r="C579" s="908" t="s">
        <v>96</v>
      </c>
      <c r="D579" s="910" t="s">
        <v>2022</v>
      </c>
      <c r="E579" s="917">
        <v>12000</v>
      </c>
      <c r="F579" s="908">
        <v>10456075</v>
      </c>
      <c r="G579" s="910" t="s">
        <v>2483</v>
      </c>
      <c r="H579" s="910" t="s">
        <v>2484</v>
      </c>
      <c r="I579" s="911" t="s">
        <v>1406</v>
      </c>
      <c r="J579" s="911" t="s">
        <v>1411</v>
      </c>
      <c r="K579" s="879">
        <v>1</v>
      </c>
      <c r="L579" s="878">
        <v>3</v>
      </c>
      <c r="M579" s="880">
        <v>33200</v>
      </c>
      <c r="N579" s="879">
        <v>0</v>
      </c>
      <c r="O579" s="878" t="s">
        <v>2731</v>
      </c>
      <c r="P579" s="880">
        <v>0</v>
      </c>
    </row>
    <row r="580" spans="1:16" ht="15.95" customHeight="1">
      <c r="A580" s="924" t="s">
        <v>2732</v>
      </c>
      <c r="B580" s="908" t="s">
        <v>1402</v>
      </c>
      <c r="C580" s="908" t="s">
        <v>96</v>
      </c>
      <c r="D580" s="910" t="s">
        <v>2265</v>
      </c>
      <c r="E580" s="917">
        <v>8000</v>
      </c>
      <c r="F580" s="908">
        <v>40653260</v>
      </c>
      <c r="G580" s="910" t="s">
        <v>2485</v>
      </c>
      <c r="H580" s="910" t="s">
        <v>1461</v>
      </c>
      <c r="I580" s="911" t="s">
        <v>1406</v>
      </c>
      <c r="J580" s="911" t="s">
        <v>1411</v>
      </c>
      <c r="K580" s="879">
        <v>1</v>
      </c>
      <c r="L580" s="878">
        <v>12</v>
      </c>
      <c r="M580" s="880">
        <v>96300</v>
      </c>
      <c r="N580" s="879">
        <v>1</v>
      </c>
      <c r="O580" s="878">
        <v>6</v>
      </c>
      <c r="P580" s="880">
        <v>48000</v>
      </c>
    </row>
    <row r="581" spans="1:16" ht="15.95" customHeight="1">
      <c r="A581" s="924" t="s">
        <v>2732</v>
      </c>
      <c r="B581" s="908" t="s">
        <v>1402</v>
      </c>
      <c r="C581" s="908" t="s">
        <v>96</v>
      </c>
      <c r="D581" s="910" t="s">
        <v>1758</v>
      </c>
      <c r="E581" s="917">
        <v>9000</v>
      </c>
      <c r="F581" s="908">
        <v>10354010</v>
      </c>
      <c r="G581" s="910" t="s">
        <v>2486</v>
      </c>
      <c r="H581" s="910" t="s">
        <v>1458</v>
      </c>
      <c r="I581" s="911" t="s">
        <v>1406</v>
      </c>
      <c r="J581" s="911" t="s">
        <v>1420</v>
      </c>
      <c r="K581" s="879">
        <v>1</v>
      </c>
      <c r="L581" s="878">
        <v>6</v>
      </c>
      <c r="M581" s="880">
        <v>51900</v>
      </c>
      <c r="N581" s="879">
        <v>1</v>
      </c>
      <c r="O581" s="878">
        <v>6</v>
      </c>
      <c r="P581" s="880">
        <v>54000</v>
      </c>
    </row>
    <row r="582" spans="1:16" ht="15.95" customHeight="1">
      <c r="A582" s="924" t="s">
        <v>2732</v>
      </c>
      <c r="B582" s="908" t="s">
        <v>1402</v>
      </c>
      <c r="C582" s="908" t="s">
        <v>96</v>
      </c>
      <c r="D582" s="910" t="s">
        <v>2153</v>
      </c>
      <c r="E582" s="917">
        <v>8000</v>
      </c>
      <c r="F582" s="908">
        <v>10545043</v>
      </c>
      <c r="G582" s="910" t="s">
        <v>2487</v>
      </c>
      <c r="H582" s="910" t="s">
        <v>1410</v>
      </c>
      <c r="I582" s="911" t="s">
        <v>1406</v>
      </c>
      <c r="J582" s="911" t="s">
        <v>1411</v>
      </c>
      <c r="K582" s="879">
        <v>1</v>
      </c>
      <c r="L582" s="878">
        <v>12</v>
      </c>
      <c r="M582" s="880">
        <v>96300</v>
      </c>
      <c r="N582" s="879">
        <v>1</v>
      </c>
      <c r="O582" s="878">
        <v>6</v>
      </c>
      <c r="P582" s="880">
        <v>48000</v>
      </c>
    </row>
    <row r="583" spans="1:16" ht="24">
      <c r="A583" s="924" t="s">
        <v>2732</v>
      </c>
      <c r="B583" s="908" t="s">
        <v>1402</v>
      </c>
      <c r="C583" s="908" t="s">
        <v>96</v>
      </c>
      <c r="D583" s="910" t="s">
        <v>2488</v>
      </c>
      <c r="E583" s="917">
        <v>6000</v>
      </c>
      <c r="F583" s="908">
        <v>31680587</v>
      </c>
      <c r="G583" s="910" t="s">
        <v>2489</v>
      </c>
      <c r="H583" s="910" t="s">
        <v>1410</v>
      </c>
      <c r="I583" s="911" t="s">
        <v>1406</v>
      </c>
      <c r="J583" s="911" t="s">
        <v>1411</v>
      </c>
      <c r="K583" s="879">
        <v>1</v>
      </c>
      <c r="L583" s="878">
        <v>12</v>
      </c>
      <c r="M583" s="880">
        <v>93300</v>
      </c>
      <c r="N583" s="879">
        <v>1</v>
      </c>
      <c r="O583" s="878">
        <v>6</v>
      </c>
      <c r="P583" s="880">
        <v>36000</v>
      </c>
    </row>
    <row r="584" spans="1:16" ht="24">
      <c r="A584" s="924" t="s">
        <v>2732</v>
      </c>
      <c r="B584" s="908" t="s">
        <v>1402</v>
      </c>
      <c r="C584" s="908" t="s">
        <v>96</v>
      </c>
      <c r="D584" s="910" t="s">
        <v>1655</v>
      </c>
      <c r="E584" s="917">
        <v>7000</v>
      </c>
      <c r="F584" s="908">
        <v>42960489</v>
      </c>
      <c r="G584" s="910" t="s">
        <v>2490</v>
      </c>
      <c r="H584" s="910" t="s">
        <v>1410</v>
      </c>
      <c r="I584" s="911" t="s">
        <v>1406</v>
      </c>
      <c r="J584" s="911" t="s">
        <v>1420</v>
      </c>
      <c r="K584" s="879">
        <v>1</v>
      </c>
      <c r="L584" s="878">
        <v>3</v>
      </c>
      <c r="M584" s="880">
        <v>21000</v>
      </c>
      <c r="N584" s="879">
        <v>1</v>
      </c>
      <c r="O584" s="878">
        <v>6</v>
      </c>
      <c r="P584" s="880">
        <v>42000</v>
      </c>
    </row>
    <row r="585" spans="1:16" ht="24">
      <c r="A585" s="924" t="s">
        <v>2732</v>
      </c>
      <c r="B585" s="908" t="s">
        <v>1402</v>
      </c>
      <c r="C585" s="908" t="s">
        <v>96</v>
      </c>
      <c r="D585" s="910" t="s">
        <v>2491</v>
      </c>
      <c r="E585" s="917">
        <v>4500</v>
      </c>
      <c r="F585" s="908">
        <v>9771374</v>
      </c>
      <c r="G585" s="910" t="s">
        <v>2492</v>
      </c>
      <c r="H585" s="910" t="s">
        <v>2493</v>
      </c>
      <c r="I585" s="911" t="s">
        <v>1406</v>
      </c>
      <c r="J585" s="911" t="s">
        <v>1411</v>
      </c>
      <c r="K585" s="879">
        <v>1</v>
      </c>
      <c r="L585" s="878">
        <v>12</v>
      </c>
      <c r="M585" s="880">
        <v>54300</v>
      </c>
      <c r="N585" s="879">
        <v>1</v>
      </c>
      <c r="O585" s="878">
        <v>6</v>
      </c>
      <c r="P585" s="880">
        <v>27000</v>
      </c>
    </row>
    <row r="586" spans="1:16" ht="15.95" customHeight="1">
      <c r="A586" s="924" t="s">
        <v>2732</v>
      </c>
      <c r="B586" s="908" t="s">
        <v>1402</v>
      </c>
      <c r="C586" s="908" t="s">
        <v>96</v>
      </c>
      <c r="D586" s="910" t="s">
        <v>1918</v>
      </c>
      <c r="E586" s="917">
        <v>12500</v>
      </c>
      <c r="F586" s="908">
        <v>10251125</v>
      </c>
      <c r="G586" s="910" t="s">
        <v>2494</v>
      </c>
      <c r="H586" s="910" t="s">
        <v>1442</v>
      </c>
      <c r="I586" s="911" t="s">
        <v>1406</v>
      </c>
      <c r="J586" s="911" t="s">
        <v>1411</v>
      </c>
      <c r="K586" s="879">
        <v>1</v>
      </c>
      <c r="L586" s="878">
        <v>12</v>
      </c>
      <c r="M586" s="880">
        <v>150300</v>
      </c>
      <c r="N586" s="879">
        <v>1</v>
      </c>
      <c r="O586" s="878">
        <v>6</v>
      </c>
      <c r="P586" s="880">
        <v>75000</v>
      </c>
    </row>
    <row r="587" spans="1:16" ht="24">
      <c r="A587" s="924" t="s">
        <v>2732</v>
      </c>
      <c r="B587" s="908" t="s">
        <v>1402</v>
      </c>
      <c r="C587" s="908" t="s">
        <v>96</v>
      </c>
      <c r="D587" s="910" t="s">
        <v>1566</v>
      </c>
      <c r="E587" s="917">
        <v>6000</v>
      </c>
      <c r="F587" s="908">
        <v>6282579</v>
      </c>
      <c r="G587" s="910" t="s">
        <v>2495</v>
      </c>
      <c r="H587" s="910" t="s">
        <v>1417</v>
      </c>
      <c r="I587" s="911" t="s">
        <v>1420</v>
      </c>
      <c r="J587" s="911" t="s">
        <v>1411</v>
      </c>
      <c r="K587" s="879">
        <v>1</v>
      </c>
      <c r="L587" s="878">
        <v>12</v>
      </c>
      <c r="M587" s="880">
        <v>71490</v>
      </c>
      <c r="N587" s="879">
        <v>1</v>
      </c>
      <c r="O587" s="878">
        <v>6</v>
      </c>
      <c r="P587" s="880">
        <v>35613.11</v>
      </c>
    </row>
    <row r="588" spans="1:16" ht="15.95" customHeight="1">
      <c r="A588" s="924" t="s">
        <v>2732</v>
      </c>
      <c r="B588" s="908" t="s">
        <v>1402</v>
      </c>
      <c r="C588" s="908" t="s">
        <v>96</v>
      </c>
      <c r="D588" s="910" t="s">
        <v>2496</v>
      </c>
      <c r="E588" s="917">
        <v>6500</v>
      </c>
      <c r="F588" s="908">
        <v>45622179</v>
      </c>
      <c r="G588" s="910" t="s">
        <v>2497</v>
      </c>
      <c r="H588" s="910" t="s">
        <v>1414</v>
      </c>
      <c r="I588" s="911" t="s">
        <v>1406</v>
      </c>
      <c r="J588" s="911" t="s">
        <v>1420</v>
      </c>
      <c r="K588" s="879">
        <v>1</v>
      </c>
      <c r="L588" s="878">
        <v>6</v>
      </c>
      <c r="M588" s="880">
        <v>37483.33</v>
      </c>
      <c r="N588" s="879">
        <v>1</v>
      </c>
      <c r="O588" s="878">
        <v>6</v>
      </c>
      <c r="P588" s="880">
        <v>39000</v>
      </c>
    </row>
    <row r="589" spans="1:16" ht="24">
      <c r="A589" s="924" t="s">
        <v>2732</v>
      </c>
      <c r="B589" s="908" t="s">
        <v>1402</v>
      </c>
      <c r="C589" s="908" t="s">
        <v>96</v>
      </c>
      <c r="D589" s="910" t="s">
        <v>2498</v>
      </c>
      <c r="E589" s="917">
        <v>6000</v>
      </c>
      <c r="F589" s="908">
        <v>8261302</v>
      </c>
      <c r="G589" s="910" t="s">
        <v>2499</v>
      </c>
      <c r="H589" s="910" t="s">
        <v>2500</v>
      </c>
      <c r="I589" s="911" t="s">
        <v>1424</v>
      </c>
      <c r="J589" s="911" t="s">
        <v>1532</v>
      </c>
      <c r="K589" s="879">
        <v>1</v>
      </c>
      <c r="L589" s="878">
        <v>12</v>
      </c>
      <c r="M589" s="880">
        <v>72300</v>
      </c>
      <c r="N589" s="879">
        <v>1</v>
      </c>
      <c r="O589" s="878">
        <v>5</v>
      </c>
      <c r="P589" s="880">
        <v>30000</v>
      </c>
    </row>
    <row r="590" spans="1:16" ht="15.95" customHeight="1">
      <c r="A590" s="924" t="s">
        <v>2732</v>
      </c>
      <c r="B590" s="908" t="s">
        <v>1402</v>
      </c>
      <c r="C590" s="908" t="s">
        <v>96</v>
      </c>
      <c r="D590" s="910" t="s">
        <v>2501</v>
      </c>
      <c r="E590" s="917">
        <v>9000</v>
      </c>
      <c r="F590" s="908">
        <v>40378242</v>
      </c>
      <c r="G590" s="910" t="s">
        <v>2502</v>
      </c>
      <c r="H590" s="910" t="s">
        <v>1442</v>
      </c>
      <c r="I590" s="911" t="s">
        <v>1406</v>
      </c>
      <c r="J590" s="911" t="s">
        <v>1411</v>
      </c>
      <c r="K590" s="879">
        <v>1</v>
      </c>
      <c r="L590" s="878">
        <v>4</v>
      </c>
      <c r="M590" s="880">
        <v>28500</v>
      </c>
      <c r="N590" s="879">
        <v>0</v>
      </c>
      <c r="O590" s="878" t="s">
        <v>2731</v>
      </c>
      <c r="P590" s="880">
        <v>0</v>
      </c>
    </row>
    <row r="591" spans="1:16">
      <c r="A591" s="924" t="s">
        <v>2732</v>
      </c>
      <c r="B591" s="908" t="s">
        <v>1402</v>
      </c>
      <c r="C591" s="908" t="s">
        <v>96</v>
      </c>
      <c r="D591" s="910" t="s">
        <v>1449</v>
      </c>
      <c r="E591" s="917">
        <v>3000</v>
      </c>
      <c r="F591" s="908">
        <v>10405896</v>
      </c>
      <c r="G591" s="910" t="s">
        <v>2503</v>
      </c>
      <c r="H591" s="910" t="s">
        <v>1451</v>
      </c>
      <c r="I591" s="911" t="s">
        <v>1452</v>
      </c>
      <c r="J591" s="911" t="s">
        <v>1451</v>
      </c>
      <c r="K591" s="879">
        <v>1</v>
      </c>
      <c r="L591" s="878">
        <v>12</v>
      </c>
      <c r="M591" s="880">
        <v>72140.62</v>
      </c>
      <c r="N591" s="879">
        <v>1</v>
      </c>
      <c r="O591" s="878">
        <v>6</v>
      </c>
      <c r="P591" s="880">
        <v>18000</v>
      </c>
    </row>
    <row r="592" spans="1:16">
      <c r="A592" s="924" t="s">
        <v>2732</v>
      </c>
      <c r="B592" s="908" t="s">
        <v>1402</v>
      </c>
      <c r="C592" s="908" t="s">
        <v>96</v>
      </c>
      <c r="D592" s="910" t="s">
        <v>1758</v>
      </c>
      <c r="E592" s="917">
        <v>9000</v>
      </c>
      <c r="F592" s="908">
        <v>41177193</v>
      </c>
      <c r="G592" s="910" t="s">
        <v>2504</v>
      </c>
      <c r="H592" s="910" t="s">
        <v>1461</v>
      </c>
      <c r="I592" s="911" t="s">
        <v>1406</v>
      </c>
      <c r="J592" s="911" t="s">
        <v>1420</v>
      </c>
      <c r="K592" s="879">
        <v>1</v>
      </c>
      <c r="L592" s="878">
        <v>4</v>
      </c>
      <c r="M592" s="880">
        <v>35840.620000000003</v>
      </c>
      <c r="N592" s="879">
        <v>1</v>
      </c>
      <c r="O592" s="878">
        <v>6</v>
      </c>
      <c r="P592" s="880">
        <v>54000</v>
      </c>
    </row>
    <row r="593" spans="1:16" ht="24">
      <c r="A593" s="924" t="s">
        <v>2732</v>
      </c>
      <c r="B593" s="908" t="s">
        <v>1402</v>
      </c>
      <c r="C593" s="908" t="s">
        <v>96</v>
      </c>
      <c r="D593" s="910" t="s">
        <v>2505</v>
      </c>
      <c r="E593" s="917">
        <v>3000</v>
      </c>
      <c r="F593" s="908">
        <v>10471052</v>
      </c>
      <c r="G593" s="910" t="s">
        <v>2506</v>
      </c>
      <c r="H593" s="910" t="s">
        <v>1477</v>
      </c>
      <c r="I593" s="911" t="s">
        <v>1406</v>
      </c>
      <c r="J593" s="911" t="s">
        <v>1407</v>
      </c>
      <c r="K593" s="879">
        <v>1</v>
      </c>
      <c r="L593" s="878">
        <v>12</v>
      </c>
      <c r="M593" s="880">
        <v>36300</v>
      </c>
      <c r="N593" s="879">
        <v>1</v>
      </c>
      <c r="O593" s="878">
        <v>6</v>
      </c>
      <c r="P593" s="880">
        <v>18000</v>
      </c>
    </row>
    <row r="594" spans="1:16" ht="15.95" customHeight="1">
      <c r="A594" s="924" t="s">
        <v>2732</v>
      </c>
      <c r="B594" s="908" t="s">
        <v>1402</v>
      </c>
      <c r="C594" s="908" t="s">
        <v>96</v>
      </c>
      <c r="D594" s="910" t="s">
        <v>1530</v>
      </c>
      <c r="E594" s="917">
        <v>1800</v>
      </c>
      <c r="F594" s="908">
        <v>7180508</v>
      </c>
      <c r="G594" s="910" t="s">
        <v>2507</v>
      </c>
      <c r="H594" s="910" t="s">
        <v>1565</v>
      </c>
      <c r="I594" s="911" t="s">
        <v>1406</v>
      </c>
      <c r="J594" s="911" t="s">
        <v>1532</v>
      </c>
      <c r="K594" s="879">
        <v>1</v>
      </c>
      <c r="L594" s="878">
        <v>4</v>
      </c>
      <c r="M594" s="880">
        <v>8340</v>
      </c>
      <c r="N594" s="879">
        <v>1</v>
      </c>
      <c r="O594" s="878">
        <v>6</v>
      </c>
      <c r="P594" s="880">
        <v>10800</v>
      </c>
    </row>
    <row r="595" spans="1:16" ht="15.95" customHeight="1">
      <c r="A595" s="924" t="s">
        <v>2732</v>
      </c>
      <c r="B595" s="908" t="s">
        <v>1402</v>
      </c>
      <c r="C595" s="908" t="s">
        <v>96</v>
      </c>
      <c r="D595" s="910" t="s">
        <v>2508</v>
      </c>
      <c r="E595" s="917">
        <v>6000</v>
      </c>
      <c r="F595" s="908">
        <v>44054837</v>
      </c>
      <c r="G595" s="910" t="s">
        <v>2509</v>
      </c>
      <c r="H595" s="910" t="s">
        <v>1943</v>
      </c>
      <c r="I595" s="911" t="s">
        <v>1406</v>
      </c>
      <c r="J595" s="911" t="s">
        <v>1420</v>
      </c>
      <c r="K595" s="879">
        <v>1</v>
      </c>
      <c r="L595" s="878">
        <v>6</v>
      </c>
      <c r="M595" s="880">
        <v>34000</v>
      </c>
      <c r="N595" s="879">
        <v>1</v>
      </c>
      <c r="O595" s="878">
        <v>5</v>
      </c>
      <c r="P595" s="880">
        <v>30000</v>
      </c>
    </row>
    <row r="596" spans="1:16" ht="24">
      <c r="A596" s="924" t="s">
        <v>2732</v>
      </c>
      <c r="B596" s="908" t="s">
        <v>1402</v>
      </c>
      <c r="C596" s="908" t="s">
        <v>96</v>
      </c>
      <c r="D596" s="910" t="s">
        <v>1685</v>
      </c>
      <c r="E596" s="917">
        <v>15600</v>
      </c>
      <c r="F596" s="908">
        <v>10770580</v>
      </c>
      <c r="G596" s="910" t="s">
        <v>2510</v>
      </c>
      <c r="H596" s="910" t="s">
        <v>1787</v>
      </c>
      <c r="I596" s="911" t="s">
        <v>1406</v>
      </c>
      <c r="J596" s="911" t="s">
        <v>1411</v>
      </c>
      <c r="K596" s="879">
        <v>1</v>
      </c>
      <c r="L596" s="878">
        <v>12</v>
      </c>
      <c r="M596" s="880">
        <v>186980</v>
      </c>
      <c r="N596" s="879">
        <v>1</v>
      </c>
      <c r="O596" s="878">
        <v>6</v>
      </c>
      <c r="P596" s="880">
        <v>92040</v>
      </c>
    </row>
    <row r="597" spans="1:16" ht="15.95" customHeight="1">
      <c r="A597" s="924" t="s">
        <v>2732</v>
      </c>
      <c r="B597" s="908" t="s">
        <v>1402</v>
      </c>
      <c r="C597" s="908" t="s">
        <v>96</v>
      </c>
      <c r="D597" s="910" t="s">
        <v>2511</v>
      </c>
      <c r="E597" s="917">
        <v>4500</v>
      </c>
      <c r="F597" s="908">
        <v>46519443</v>
      </c>
      <c r="G597" s="910" t="s">
        <v>2512</v>
      </c>
      <c r="H597" s="910" t="s">
        <v>1491</v>
      </c>
      <c r="I597" s="911" t="s">
        <v>1406</v>
      </c>
      <c r="J597" s="911" t="s">
        <v>1420</v>
      </c>
      <c r="K597" s="879">
        <v>1</v>
      </c>
      <c r="L597" s="878">
        <v>2</v>
      </c>
      <c r="M597" s="880">
        <v>7950</v>
      </c>
      <c r="N597" s="879">
        <v>1</v>
      </c>
      <c r="O597" s="878">
        <v>6</v>
      </c>
      <c r="P597" s="880">
        <v>27000</v>
      </c>
    </row>
    <row r="598" spans="1:16" ht="15.95" customHeight="1">
      <c r="A598" s="924" t="s">
        <v>2732</v>
      </c>
      <c r="B598" s="908" t="s">
        <v>1402</v>
      </c>
      <c r="C598" s="908" t="s">
        <v>96</v>
      </c>
      <c r="D598" s="910" t="s">
        <v>2511</v>
      </c>
      <c r="E598" s="917">
        <v>4500</v>
      </c>
      <c r="F598" s="908">
        <v>46519443</v>
      </c>
      <c r="G598" s="910" t="s">
        <v>2512</v>
      </c>
      <c r="H598" s="910" t="s">
        <v>1491</v>
      </c>
      <c r="I598" s="911" t="s">
        <v>1406</v>
      </c>
      <c r="J598" s="911" t="s">
        <v>1420</v>
      </c>
      <c r="K598" s="879">
        <v>1</v>
      </c>
      <c r="L598" s="878">
        <v>2</v>
      </c>
      <c r="M598" s="880">
        <v>7950</v>
      </c>
      <c r="N598" s="879">
        <v>1</v>
      </c>
      <c r="O598" s="878">
        <v>6</v>
      </c>
      <c r="P598" s="880">
        <v>27000</v>
      </c>
    </row>
    <row r="599" spans="1:16" ht="15.95" customHeight="1">
      <c r="A599" s="924" t="s">
        <v>2732</v>
      </c>
      <c r="B599" s="908" t="s">
        <v>1402</v>
      </c>
      <c r="C599" s="908" t="s">
        <v>96</v>
      </c>
      <c r="D599" s="910" t="s">
        <v>2513</v>
      </c>
      <c r="E599" s="917">
        <v>3500</v>
      </c>
      <c r="F599" s="908">
        <v>41661998</v>
      </c>
      <c r="G599" s="910" t="s">
        <v>2514</v>
      </c>
      <c r="H599" s="910" t="s">
        <v>2232</v>
      </c>
      <c r="I599" s="911" t="s">
        <v>1480</v>
      </c>
      <c r="J599" s="911" t="s">
        <v>1411</v>
      </c>
      <c r="K599" s="879">
        <v>1</v>
      </c>
      <c r="L599" s="878">
        <v>12</v>
      </c>
      <c r="M599" s="880">
        <v>42300</v>
      </c>
      <c r="N599" s="879">
        <v>1</v>
      </c>
      <c r="O599" s="878">
        <v>6</v>
      </c>
      <c r="P599" s="880">
        <v>21000</v>
      </c>
    </row>
    <row r="600" spans="1:16" ht="15.95" customHeight="1">
      <c r="A600" s="924" t="s">
        <v>2732</v>
      </c>
      <c r="B600" s="908" t="s">
        <v>1402</v>
      </c>
      <c r="C600" s="908" t="s">
        <v>96</v>
      </c>
      <c r="D600" s="910" t="s">
        <v>2515</v>
      </c>
      <c r="E600" s="917">
        <v>9000</v>
      </c>
      <c r="F600" s="908">
        <v>9357288</v>
      </c>
      <c r="G600" s="910" t="s">
        <v>2516</v>
      </c>
      <c r="H600" s="910" t="s">
        <v>1923</v>
      </c>
      <c r="I600" s="911" t="s">
        <v>1406</v>
      </c>
      <c r="J600" s="911" t="s">
        <v>1411</v>
      </c>
      <c r="K600" s="879">
        <v>1</v>
      </c>
      <c r="L600" s="878">
        <v>12</v>
      </c>
      <c r="M600" s="880">
        <v>108300</v>
      </c>
      <c r="N600" s="879">
        <v>1</v>
      </c>
      <c r="O600" s="878">
        <v>6</v>
      </c>
      <c r="P600" s="880">
        <v>54000</v>
      </c>
    </row>
    <row r="601" spans="1:16" ht="15.95" customHeight="1">
      <c r="A601" s="924" t="s">
        <v>2732</v>
      </c>
      <c r="B601" s="908" t="s">
        <v>1402</v>
      </c>
      <c r="C601" s="908" t="s">
        <v>96</v>
      </c>
      <c r="D601" s="910" t="s">
        <v>1693</v>
      </c>
      <c r="E601" s="917">
        <v>15600</v>
      </c>
      <c r="F601" s="908">
        <v>43942616</v>
      </c>
      <c r="G601" s="910" t="s">
        <v>2517</v>
      </c>
      <c r="H601" s="910" t="s">
        <v>1410</v>
      </c>
      <c r="I601" s="911" t="s">
        <v>1406</v>
      </c>
      <c r="J601" s="911" t="s">
        <v>1411</v>
      </c>
      <c r="K601" s="879">
        <v>1</v>
      </c>
      <c r="L601" s="878">
        <v>7</v>
      </c>
      <c r="M601" s="880">
        <v>117210</v>
      </c>
      <c r="N601" s="879">
        <v>1</v>
      </c>
      <c r="O601" s="878">
        <v>6</v>
      </c>
      <c r="P601" s="880">
        <v>92040</v>
      </c>
    </row>
    <row r="602" spans="1:16" ht="15.95" customHeight="1">
      <c r="A602" s="924" t="s">
        <v>2732</v>
      </c>
      <c r="B602" s="908" t="s">
        <v>1402</v>
      </c>
      <c r="C602" s="908" t="s">
        <v>96</v>
      </c>
      <c r="D602" s="910" t="s">
        <v>2518</v>
      </c>
      <c r="E602" s="917">
        <v>4500</v>
      </c>
      <c r="F602" s="908">
        <v>44138204</v>
      </c>
      <c r="G602" s="910" t="s">
        <v>2519</v>
      </c>
      <c r="H602" s="910" t="s">
        <v>1565</v>
      </c>
      <c r="I602" s="911" t="s">
        <v>1420</v>
      </c>
      <c r="J602" s="911" t="s">
        <v>1420</v>
      </c>
      <c r="K602" s="879">
        <v>1</v>
      </c>
      <c r="L602" s="878">
        <v>5</v>
      </c>
      <c r="M602" s="880">
        <v>25350</v>
      </c>
      <c r="N602" s="879">
        <v>1</v>
      </c>
      <c r="O602" s="878">
        <v>6</v>
      </c>
      <c r="P602" s="880">
        <v>27000</v>
      </c>
    </row>
    <row r="603" spans="1:16" ht="15.95" customHeight="1">
      <c r="A603" s="924" t="s">
        <v>2732</v>
      </c>
      <c r="B603" s="908" t="s">
        <v>1402</v>
      </c>
      <c r="C603" s="908" t="s">
        <v>96</v>
      </c>
      <c r="D603" s="910" t="s">
        <v>1685</v>
      </c>
      <c r="E603" s="917">
        <v>14500</v>
      </c>
      <c r="F603" s="908">
        <v>6808795</v>
      </c>
      <c r="G603" s="910" t="s">
        <v>2520</v>
      </c>
      <c r="H603" s="910" t="s">
        <v>1943</v>
      </c>
      <c r="I603" s="911" t="s">
        <v>1406</v>
      </c>
      <c r="J603" s="911" t="s">
        <v>1411</v>
      </c>
      <c r="K603" s="879">
        <v>1</v>
      </c>
      <c r="L603" s="878">
        <v>6</v>
      </c>
      <c r="M603" s="880">
        <v>82095.61</v>
      </c>
      <c r="N603" s="879">
        <v>1</v>
      </c>
      <c r="O603" s="878">
        <v>1</v>
      </c>
      <c r="P603" s="880">
        <v>14500</v>
      </c>
    </row>
    <row r="604" spans="1:16" ht="15.95" customHeight="1">
      <c r="A604" s="924" t="s">
        <v>2732</v>
      </c>
      <c r="B604" s="908" t="s">
        <v>1402</v>
      </c>
      <c r="C604" s="908" t="s">
        <v>96</v>
      </c>
      <c r="D604" s="910" t="s">
        <v>2521</v>
      </c>
      <c r="E604" s="917">
        <v>7000</v>
      </c>
      <c r="F604" s="908">
        <v>44478491</v>
      </c>
      <c r="G604" s="910" t="s">
        <v>2522</v>
      </c>
      <c r="H604" s="910" t="s">
        <v>1547</v>
      </c>
      <c r="I604" s="911" t="s">
        <v>1406</v>
      </c>
      <c r="J604" s="911" t="s">
        <v>1420</v>
      </c>
      <c r="K604" s="879">
        <v>1</v>
      </c>
      <c r="L604" s="878">
        <v>6</v>
      </c>
      <c r="M604" s="880">
        <v>40133.339999999997</v>
      </c>
      <c r="N604" s="879">
        <v>1</v>
      </c>
      <c r="O604" s="878">
        <v>6</v>
      </c>
      <c r="P604" s="880">
        <v>42000</v>
      </c>
    </row>
    <row r="605" spans="1:16" ht="15.95" customHeight="1">
      <c r="A605" s="924" t="s">
        <v>2732</v>
      </c>
      <c r="B605" s="908" t="s">
        <v>1402</v>
      </c>
      <c r="C605" s="908" t="s">
        <v>96</v>
      </c>
      <c r="D605" s="910" t="s">
        <v>2523</v>
      </c>
      <c r="E605" s="917">
        <v>15000</v>
      </c>
      <c r="F605" s="908">
        <v>23811409</v>
      </c>
      <c r="G605" s="910" t="s">
        <v>2524</v>
      </c>
      <c r="H605" s="910" t="s">
        <v>1974</v>
      </c>
      <c r="I605" s="911" t="s">
        <v>1406</v>
      </c>
      <c r="J605" s="911" t="s">
        <v>1420</v>
      </c>
      <c r="K605" s="879">
        <v>1</v>
      </c>
      <c r="L605" s="878">
        <v>6</v>
      </c>
      <c r="M605" s="880">
        <v>86500</v>
      </c>
      <c r="N605" s="879">
        <v>1</v>
      </c>
      <c r="O605" s="878">
        <v>6</v>
      </c>
      <c r="P605" s="880">
        <v>88500</v>
      </c>
    </row>
    <row r="606" spans="1:16" ht="15.95" customHeight="1">
      <c r="A606" s="924" t="s">
        <v>2732</v>
      </c>
      <c r="B606" s="908" t="s">
        <v>1402</v>
      </c>
      <c r="C606" s="908" t="s">
        <v>96</v>
      </c>
      <c r="D606" s="910" t="s">
        <v>1946</v>
      </c>
      <c r="E606" s="917">
        <v>10500</v>
      </c>
      <c r="F606" s="908">
        <v>1334202</v>
      </c>
      <c r="G606" s="910" t="s">
        <v>2525</v>
      </c>
      <c r="H606" s="910" t="s">
        <v>1584</v>
      </c>
      <c r="I606" s="911" t="s">
        <v>1406</v>
      </c>
      <c r="J606" s="911" t="s">
        <v>1411</v>
      </c>
      <c r="K606" s="879">
        <v>1</v>
      </c>
      <c r="L606" s="878">
        <v>12</v>
      </c>
      <c r="M606" s="880">
        <v>126300</v>
      </c>
      <c r="N606" s="879">
        <v>1</v>
      </c>
      <c r="O606" s="878">
        <v>6</v>
      </c>
      <c r="P606" s="880">
        <v>63000</v>
      </c>
    </row>
    <row r="607" spans="1:16" ht="15.95" customHeight="1">
      <c r="A607" s="924" t="s">
        <v>2732</v>
      </c>
      <c r="B607" s="908" t="s">
        <v>1402</v>
      </c>
      <c r="C607" s="908" t="s">
        <v>96</v>
      </c>
      <c r="D607" s="910" t="s">
        <v>2526</v>
      </c>
      <c r="E607" s="917">
        <v>1800</v>
      </c>
      <c r="F607" s="908">
        <v>6268776</v>
      </c>
      <c r="G607" s="910" t="s">
        <v>2527</v>
      </c>
      <c r="H607" s="910" t="s">
        <v>1488</v>
      </c>
      <c r="I607" s="911" t="s">
        <v>1424</v>
      </c>
      <c r="J607" s="911" t="s">
        <v>1679</v>
      </c>
      <c r="K607" s="879">
        <v>1</v>
      </c>
      <c r="L607" s="878">
        <v>12</v>
      </c>
      <c r="M607" s="880">
        <v>21242</v>
      </c>
      <c r="N607" s="879">
        <v>1</v>
      </c>
      <c r="O607" s="878">
        <v>6</v>
      </c>
      <c r="P607" s="880">
        <v>10740</v>
      </c>
    </row>
    <row r="608" spans="1:16" ht="15.95" customHeight="1">
      <c r="A608" s="924" t="s">
        <v>2732</v>
      </c>
      <c r="B608" s="908" t="s">
        <v>1402</v>
      </c>
      <c r="C608" s="908" t="s">
        <v>96</v>
      </c>
      <c r="D608" s="910" t="s">
        <v>2528</v>
      </c>
      <c r="E608" s="917">
        <v>8000</v>
      </c>
      <c r="F608" s="908">
        <v>40745312</v>
      </c>
      <c r="G608" s="910" t="s">
        <v>2529</v>
      </c>
      <c r="H608" s="910" t="s">
        <v>1584</v>
      </c>
      <c r="I608" s="911" t="s">
        <v>1406</v>
      </c>
      <c r="J608" s="911" t="s">
        <v>1411</v>
      </c>
      <c r="K608" s="879">
        <v>1</v>
      </c>
      <c r="L608" s="878">
        <v>10</v>
      </c>
      <c r="M608" s="880">
        <v>83233.33</v>
      </c>
      <c r="N608" s="879">
        <v>1</v>
      </c>
      <c r="O608" s="878">
        <v>6</v>
      </c>
      <c r="P608" s="880">
        <v>48000</v>
      </c>
    </row>
    <row r="609" spans="1:16" ht="15.95" customHeight="1">
      <c r="A609" s="924" t="s">
        <v>2732</v>
      </c>
      <c r="B609" s="908" t="s">
        <v>1402</v>
      </c>
      <c r="C609" s="908" t="s">
        <v>96</v>
      </c>
      <c r="D609" s="910" t="s">
        <v>2530</v>
      </c>
      <c r="E609" s="917">
        <v>3000</v>
      </c>
      <c r="F609" s="908">
        <v>7831269</v>
      </c>
      <c r="G609" s="910" t="s">
        <v>2531</v>
      </c>
      <c r="H609" s="910" t="s">
        <v>1414</v>
      </c>
      <c r="I609" s="911" t="s">
        <v>1420</v>
      </c>
      <c r="J609" s="911" t="s">
        <v>1407</v>
      </c>
      <c r="K609" s="879">
        <v>1</v>
      </c>
      <c r="L609" s="878">
        <v>12</v>
      </c>
      <c r="M609" s="880">
        <v>36300</v>
      </c>
      <c r="N609" s="879">
        <v>1</v>
      </c>
      <c r="O609" s="878">
        <v>6</v>
      </c>
      <c r="P609" s="880">
        <v>18000</v>
      </c>
    </row>
    <row r="610" spans="1:16" ht="15.95" customHeight="1">
      <c r="A610" s="924" t="s">
        <v>2732</v>
      </c>
      <c r="B610" s="908" t="s">
        <v>1402</v>
      </c>
      <c r="C610" s="908" t="s">
        <v>96</v>
      </c>
      <c r="D610" s="910" t="s">
        <v>2532</v>
      </c>
      <c r="E610" s="917">
        <v>7000</v>
      </c>
      <c r="F610" s="908">
        <v>17822076</v>
      </c>
      <c r="G610" s="910" t="s">
        <v>2533</v>
      </c>
      <c r="H610" s="910" t="s">
        <v>1423</v>
      </c>
      <c r="I610" s="911" t="s">
        <v>1406</v>
      </c>
      <c r="J610" s="911" t="s">
        <v>1420</v>
      </c>
      <c r="K610" s="879">
        <v>1</v>
      </c>
      <c r="L610" s="878">
        <v>2</v>
      </c>
      <c r="M610" s="880">
        <v>16333.33</v>
      </c>
      <c r="N610" s="879">
        <v>1</v>
      </c>
      <c r="O610" s="878">
        <v>6</v>
      </c>
      <c r="P610" s="880">
        <v>42188.119999999995</v>
      </c>
    </row>
    <row r="611" spans="1:16" ht="24">
      <c r="A611" s="924" t="s">
        <v>2732</v>
      </c>
      <c r="B611" s="908" t="s">
        <v>1402</v>
      </c>
      <c r="C611" s="908" t="s">
        <v>96</v>
      </c>
      <c r="D611" s="910" t="s">
        <v>2534</v>
      </c>
      <c r="E611" s="917">
        <v>6500</v>
      </c>
      <c r="F611" s="908">
        <v>7624137</v>
      </c>
      <c r="G611" s="910" t="s">
        <v>2535</v>
      </c>
      <c r="H611" s="910" t="s">
        <v>1923</v>
      </c>
      <c r="I611" s="911" t="s">
        <v>1420</v>
      </c>
      <c r="J611" s="911" t="s">
        <v>1411</v>
      </c>
      <c r="K611" s="879">
        <v>1</v>
      </c>
      <c r="L611" s="878">
        <v>6</v>
      </c>
      <c r="M611" s="880">
        <v>36533.279999999999</v>
      </c>
      <c r="N611" s="879">
        <v>0</v>
      </c>
      <c r="O611" s="878" t="s">
        <v>2731</v>
      </c>
      <c r="P611" s="880">
        <v>0</v>
      </c>
    </row>
    <row r="612" spans="1:16" ht="15.95" customHeight="1">
      <c r="A612" s="924" t="s">
        <v>2732</v>
      </c>
      <c r="B612" s="908" t="s">
        <v>1402</v>
      </c>
      <c r="C612" s="908" t="s">
        <v>96</v>
      </c>
      <c r="D612" s="910" t="s">
        <v>1539</v>
      </c>
      <c r="E612" s="917">
        <v>5000</v>
      </c>
      <c r="F612" s="908">
        <v>8744817</v>
      </c>
      <c r="G612" s="910" t="s">
        <v>2536</v>
      </c>
      <c r="H612" s="910" t="s">
        <v>1590</v>
      </c>
      <c r="I612" s="911" t="s">
        <v>1480</v>
      </c>
      <c r="J612" s="911" t="s">
        <v>1407</v>
      </c>
      <c r="K612" s="879">
        <v>1</v>
      </c>
      <c r="L612" s="878">
        <v>6</v>
      </c>
      <c r="M612" s="880">
        <v>25833.3</v>
      </c>
      <c r="N612" s="879">
        <v>0</v>
      </c>
      <c r="O612" s="878" t="s">
        <v>2731</v>
      </c>
      <c r="P612" s="880">
        <v>0</v>
      </c>
    </row>
    <row r="613" spans="1:16" ht="24">
      <c r="A613" s="924" t="s">
        <v>2732</v>
      </c>
      <c r="B613" s="908" t="s">
        <v>1402</v>
      </c>
      <c r="C613" s="908" t="s">
        <v>96</v>
      </c>
      <c r="D613" s="910" t="s">
        <v>2537</v>
      </c>
      <c r="E613" s="917">
        <v>8120</v>
      </c>
      <c r="F613" s="908">
        <v>40340975</v>
      </c>
      <c r="G613" s="910" t="s">
        <v>2538</v>
      </c>
      <c r="H613" s="910" t="s">
        <v>2539</v>
      </c>
      <c r="I613" s="911" t="s">
        <v>1406</v>
      </c>
      <c r="J613" s="911" t="s">
        <v>1420</v>
      </c>
      <c r="K613" s="879">
        <v>1</v>
      </c>
      <c r="L613" s="878">
        <v>4</v>
      </c>
      <c r="M613" s="880">
        <v>31397.33</v>
      </c>
      <c r="N613" s="879">
        <v>1</v>
      </c>
      <c r="O613" s="878">
        <v>6</v>
      </c>
      <c r="P613" s="880">
        <v>48720</v>
      </c>
    </row>
    <row r="614" spans="1:16" ht="15.95" customHeight="1">
      <c r="A614" s="924" t="s">
        <v>2732</v>
      </c>
      <c r="B614" s="908" t="s">
        <v>1402</v>
      </c>
      <c r="C614" s="908" t="s">
        <v>96</v>
      </c>
      <c r="D614" s="910" t="s">
        <v>2540</v>
      </c>
      <c r="E614" s="917">
        <v>10500</v>
      </c>
      <c r="F614" s="908">
        <v>40089447</v>
      </c>
      <c r="G614" s="910" t="s">
        <v>2541</v>
      </c>
      <c r="H614" s="910" t="s">
        <v>1504</v>
      </c>
      <c r="I614" s="911" t="s">
        <v>1406</v>
      </c>
      <c r="J614" s="911" t="s">
        <v>1411</v>
      </c>
      <c r="K614" s="879">
        <v>1</v>
      </c>
      <c r="L614" s="878">
        <v>3</v>
      </c>
      <c r="M614" s="880">
        <v>28700</v>
      </c>
      <c r="N614" s="879">
        <v>1</v>
      </c>
      <c r="O614" s="878">
        <v>6</v>
      </c>
      <c r="P614" s="880">
        <v>63000</v>
      </c>
    </row>
    <row r="615" spans="1:16" ht="15.95" customHeight="1">
      <c r="A615" s="924" t="s">
        <v>2732</v>
      </c>
      <c r="B615" s="908" t="s">
        <v>1402</v>
      </c>
      <c r="C615" s="908" t="s">
        <v>96</v>
      </c>
      <c r="D615" s="910" t="s">
        <v>1693</v>
      </c>
      <c r="E615" s="917">
        <v>15600</v>
      </c>
      <c r="F615" s="908">
        <v>10622333</v>
      </c>
      <c r="G615" s="910" t="s">
        <v>2542</v>
      </c>
      <c r="H615" s="910" t="s">
        <v>2543</v>
      </c>
      <c r="I615" s="911" t="s">
        <v>1406</v>
      </c>
      <c r="J615" s="911" t="s">
        <v>1411</v>
      </c>
      <c r="K615" s="879">
        <v>1</v>
      </c>
      <c r="L615" s="878">
        <v>11</v>
      </c>
      <c r="M615" s="880">
        <v>171900</v>
      </c>
      <c r="N615" s="879">
        <v>0</v>
      </c>
      <c r="O615" s="878" t="s">
        <v>2731</v>
      </c>
      <c r="P615" s="880">
        <v>0</v>
      </c>
    </row>
    <row r="616" spans="1:16" ht="24">
      <c r="A616" s="924" t="s">
        <v>2732</v>
      </c>
      <c r="B616" s="908" t="s">
        <v>1402</v>
      </c>
      <c r="C616" s="908" t="s">
        <v>96</v>
      </c>
      <c r="D616" s="910" t="s">
        <v>2544</v>
      </c>
      <c r="E616" s="917">
        <v>10000</v>
      </c>
      <c r="F616" s="908">
        <v>40765002</v>
      </c>
      <c r="G616" s="910" t="s">
        <v>2545</v>
      </c>
      <c r="H616" s="910" t="s">
        <v>1410</v>
      </c>
      <c r="I616" s="911" t="s">
        <v>1406</v>
      </c>
      <c r="J616" s="911" t="s">
        <v>1420</v>
      </c>
      <c r="K616" s="879">
        <v>0</v>
      </c>
      <c r="L616" s="878" t="s">
        <v>2731</v>
      </c>
      <c r="M616" s="880">
        <v>0</v>
      </c>
      <c r="N616" s="879">
        <v>1</v>
      </c>
      <c r="O616" s="878">
        <v>5</v>
      </c>
      <c r="P616" s="880">
        <v>50000</v>
      </c>
    </row>
    <row r="617" spans="1:16" ht="24">
      <c r="A617" s="924" t="s">
        <v>2732</v>
      </c>
      <c r="B617" s="908" t="s">
        <v>1402</v>
      </c>
      <c r="C617" s="908" t="s">
        <v>96</v>
      </c>
      <c r="D617" s="910" t="s">
        <v>2546</v>
      </c>
      <c r="E617" s="917">
        <v>3000</v>
      </c>
      <c r="F617" s="908">
        <v>46695968</v>
      </c>
      <c r="G617" s="910" t="s">
        <v>2547</v>
      </c>
      <c r="H617" s="910" t="s">
        <v>1565</v>
      </c>
      <c r="I617" s="911" t="s">
        <v>1406</v>
      </c>
      <c r="J617" s="911" t="s">
        <v>1407</v>
      </c>
      <c r="K617" s="879">
        <v>0</v>
      </c>
      <c r="L617" s="878" t="s">
        <v>2731</v>
      </c>
      <c r="M617" s="880">
        <v>0</v>
      </c>
      <c r="N617" s="879">
        <v>1</v>
      </c>
      <c r="O617" s="878">
        <v>6</v>
      </c>
      <c r="P617" s="880">
        <v>18500</v>
      </c>
    </row>
    <row r="618" spans="1:16" ht="15.95" customHeight="1">
      <c r="A618" s="924" t="s">
        <v>2732</v>
      </c>
      <c r="B618" s="908" t="s">
        <v>1402</v>
      </c>
      <c r="C618" s="908" t="s">
        <v>96</v>
      </c>
      <c r="D618" s="910" t="s">
        <v>2548</v>
      </c>
      <c r="E618" s="917">
        <v>15000</v>
      </c>
      <c r="F618" s="908">
        <v>32970324</v>
      </c>
      <c r="G618" s="910" t="s">
        <v>2549</v>
      </c>
      <c r="H618" s="910" t="s">
        <v>1423</v>
      </c>
      <c r="I618" s="911" t="s">
        <v>1406</v>
      </c>
      <c r="J618" s="911" t="s">
        <v>1420</v>
      </c>
      <c r="K618" s="879">
        <v>1</v>
      </c>
      <c r="L618" s="878">
        <v>5</v>
      </c>
      <c r="M618" s="880">
        <v>82500</v>
      </c>
      <c r="N618" s="879">
        <v>1</v>
      </c>
      <c r="O618" s="878">
        <v>6</v>
      </c>
      <c r="P618" s="880">
        <v>88500</v>
      </c>
    </row>
    <row r="619" spans="1:16" ht="24">
      <c r="A619" s="924" t="s">
        <v>2732</v>
      </c>
      <c r="B619" s="908" t="s">
        <v>1402</v>
      </c>
      <c r="C619" s="908" t="s">
        <v>96</v>
      </c>
      <c r="D619" s="910" t="s">
        <v>2550</v>
      </c>
      <c r="E619" s="917">
        <v>8000</v>
      </c>
      <c r="F619" s="908">
        <v>40602119</v>
      </c>
      <c r="G619" s="910" t="s">
        <v>2551</v>
      </c>
      <c r="H619" s="910" t="s">
        <v>2552</v>
      </c>
      <c r="I619" s="911" t="s">
        <v>1406</v>
      </c>
      <c r="J619" s="911" t="s">
        <v>1411</v>
      </c>
      <c r="K619" s="879">
        <v>1</v>
      </c>
      <c r="L619" s="878">
        <v>12</v>
      </c>
      <c r="M619" s="880">
        <v>96300</v>
      </c>
      <c r="N619" s="879">
        <v>1</v>
      </c>
      <c r="O619" s="878">
        <v>6</v>
      </c>
      <c r="P619" s="880">
        <v>48000</v>
      </c>
    </row>
    <row r="620" spans="1:16" ht="15.95" customHeight="1">
      <c r="A620" s="924" t="s">
        <v>2732</v>
      </c>
      <c r="B620" s="908" t="s">
        <v>1402</v>
      </c>
      <c r="C620" s="908" t="s">
        <v>96</v>
      </c>
      <c r="D620" s="910" t="s">
        <v>1539</v>
      </c>
      <c r="E620" s="917">
        <v>3500</v>
      </c>
      <c r="F620" s="908">
        <v>44700325</v>
      </c>
      <c r="G620" s="910" t="s">
        <v>2553</v>
      </c>
      <c r="H620" s="910" t="s">
        <v>1417</v>
      </c>
      <c r="I620" s="911" t="s">
        <v>1420</v>
      </c>
      <c r="J620" s="911" t="s">
        <v>1411</v>
      </c>
      <c r="K620" s="879">
        <v>1</v>
      </c>
      <c r="L620" s="878">
        <v>12</v>
      </c>
      <c r="M620" s="880">
        <v>42300</v>
      </c>
      <c r="N620" s="879">
        <v>1</v>
      </c>
      <c r="O620" s="878">
        <v>6</v>
      </c>
      <c r="P620" s="880">
        <v>21000</v>
      </c>
    </row>
    <row r="621" spans="1:16" ht="15.95" customHeight="1">
      <c r="A621" s="924" t="s">
        <v>2732</v>
      </c>
      <c r="B621" s="908" t="s">
        <v>1402</v>
      </c>
      <c r="C621" s="908" t="s">
        <v>96</v>
      </c>
      <c r="D621" s="910" t="s">
        <v>2554</v>
      </c>
      <c r="E621" s="917">
        <v>3500</v>
      </c>
      <c r="F621" s="908">
        <v>6653390</v>
      </c>
      <c r="G621" s="910" t="s">
        <v>2555</v>
      </c>
      <c r="H621" s="910" t="s">
        <v>1560</v>
      </c>
      <c r="I621" s="911" t="s">
        <v>1406</v>
      </c>
      <c r="J621" s="911" t="s">
        <v>1407</v>
      </c>
      <c r="K621" s="879">
        <v>1</v>
      </c>
      <c r="L621" s="878">
        <v>12</v>
      </c>
      <c r="M621" s="880">
        <v>42300</v>
      </c>
      <c r="N621" s="879">
        <v>1</v>
      </c>
      <c r="O621" s="878">
        <v>6</v>
      </c>
      <c r="P621" s="880">
        <v>21000</v>
      </c>
    </row>
    <row r="622" spans="1:16" ht="15.95" customHeight="1">
      <c r="A622" s="924" t="s">
        <v>2732</v>
      </c>
      <c r="B622" s="908" t="s">
        <v>1402</v>
      </c>
      <c r="C622" s="908" t="s">
        <v>96</v>
      </c>
      <c r="D622" s="910" t="s">
        <v>1563</v>
      </c>
      <c r="E622" s="917">
        <v>2500</v>
      </c>
      <c r="F622" s="908">
        <v>45974519</v>
      </c>
      <c r="G622" s="910" t="s">
        <v>2556</v>
      </c>
      <c r="H622" s="910" t="s">
        <v>2311</v>
      </c>
      <c r="I622" s="911" t="s">
        <v>1424</v>
      </c>
      <c r="J622" s="911" t="s">
        <v>1411</v>
      </c>
      <c r="K622" s="879">
        <v>1</v>
      </c>
      <c r="L622" s="878">
        <v>12</v>
      </c>
      <c r="M622" s="880">
        <v>30300</v>
      </c>
      <c r="N622" s="879">
        <v>1</v>
      </c>
      <c r="O622" s="878">
        <v>6</v>
      </c>
      <c r="P622" s="880">
        <v>15000</v>
      </c>
    </row>
    <row r="623" spans="1:16" ht="15.95" customHeight="1">
      <c r="A623" s="924" t="s">
        <v>2732</v>
      </c>
      <c r="B623" s="908" t="s">
        <v>1402</v>
      </c>
      <c r="C623" s="908" t="s">
        <v>96</v>
      </c>
      <c r="D623" s="910" t="s">
        <v>2557</v>
      </c>
      <c r="E623" s="917">
        <v>4500</v>
      </c>
      <c r="F623" s="908">
        <v>44363701</v>
      </c>
      <c r="G623" s="910" t="s">
        <v>2558</v>
      </c>
      <c r="H623" s="910" t="s">
        <v>1565</v>
      </c>
      <c r="I623" s="911" t="s">
        <v>1424</v>
      </c>
      <c r="J623" s="911" t="s">
        <v>1407</v>
      </c>
      <c r="K623" s="879">
        <v>1</v>
      </c>
      <c r="L623" s="878">
        <v>12</v>
      </c>
      <c r="M623" s="880">
        <v>54034.789999999994</v>
      </c>
      <c r="N623" s="879">
        <v>1</v>
      </c>
      <c r="O623" s="878">
        <v>6</v>
      </c>
      <c r="P623" s="880">
        <v>26906.25</v>
      </c>
    </row>
    <row r="624" spans="1:16" ht="15.95" customHeight="1">
      <c r="A624" s="924" t="s">
        <v>2732</v>
      </c>
      <c r="B624" s="908" t="s">
        <v>1402</v>
      </c>
      <c r="C624" s="908" t="s">
        <v>96</v>
      </c>
      <c r="D624" s="910" t="s">
        <v>1829</v>
      </c>
      <c r="E624" s="917">
        <v>10000</v>
      </c>
      <c r="F624" s="908">
        <v>40455614</v>
      </c>
      <c r="G624" s="910" t="s">
        <v>2559</v>
      </c>
      <c r="H624" s="910" t="s">
        <v>1410</v>
      </c>
      <c r="I624" s="911" t="s">
        <v>1406</v>
      </c>
      <c r="J624" s="911" t="s">
        <v>1411</v>
      </c>
      <c r="K624" s="879">
        <v>1</v>
      </c>
      <c r="L624" s="878">
        <v>12</v>
      </c>
      <c r="M624" s="880">
        <v>115966.67</v>
      </c>
      <c r="N624" s="879">
        <v>1</v>
      </c>
      <c r="O624" s="878">
        <v>6</v>
      </c>
      <c r="P624" s="880">
        <v>60000</v>
      </c>
    </row>
    <row r="625" spans="1:16" ht="15.95" customHeight="1">
      <c r="A625" s="924" t="s">
        <v>2732</v>
      </c>
      <c r="B625" s="908" t="s">
        <v>1402</v>
      </c>
      <c r="C625" s="908" t="s">
        <v>96</v>
      </c>
      <c r="D625" s="910" t="s">
        <v>1657</v>
      </c>
      <c r="E625" s="917">
        <v>3500</v>
      </c>
      <c r="F625" s="908">
        <v>9300337</v>
      </c>
      <c r="G625" s="910" t="s">
        <v>2560</v>
      </c>
      <c r="H625" s="910" t="s">
        <v>1417</v>
      </c>
      <c r="I625" s="911" t="s">
        <v>1406</v>
      </c>
      <c r="J625" s="911" t="s">
        <v>1420</v>
      </c>
      <c r="K625" s="879">
        <v>1</v>
      </c>
      <c r="L625" s="878">
        <v>6</v>
      </c>
      <c r="M625" s="880">
        <v>20183.330000000002</v>
      </c>
      <c r="N625" s="879">
        <v>1</v>
      </c>
      <c r="O625" s="878">
        <v>6</v>
      </c>
      <c r="P625" s="880">
        <v>21000</v>
      </c>
    </row>
    <row r="626" spans="1:16" ht="15.95" customHeight="1">
      <c r="A626" s="924" t="s">
        <v>2732</v>
      </c>
      <c r="B626" s="908" t="s">
        <v>1402</v>
      </c>
      <c r="C626" s="908" t="s">
        <v>96</v>
      </c>
      <c r="D626" s="910" t="s">
        <v>2561</v>
      </c>
      <c r="E626" s="917">
        <v>6000</v>
      </c>
      <c r="F626" s="908">
        <v>42735987</v>
      </c>
      <c r="G626" s="910" t="s">
        <v>2562</v>
      </c>
      <c r="H626" s="910" t="s">
        <v>2563</v>
      </c>
      <c r="I626" s="911" t="s">
        <v>1420</v>
      </c>
      <c r="J626" s="911" t="s">
        <v>1411</v>
      </c>
      <c r="K626" s="879">
        <v>1</v>
      </c>
      <c r="L626" s="878">
        <v>12</v>
      </c>
      <c r="M626" s="880">
        <v>72300</v>
      </c>
      <c r="N626" s="879">
        <v>1</v>
      </c>
      <c r="O626" s="878">
        <v>6</v>
      </c>
      <c r="P626" s="880">
        <v>36000</v>
      </c>
    </row>
    <row r="627" spans="1:16" ht="15.95" customHeight="1">
      <c r="A627" s="924" t="s">
        <v>2732</v>
      </c>
      <c r="B627" s="908" t="s">
        <v>1402</v>
      </c>
      <c r="C627" s="908" t="s">
        <v>96</v>
      </c>
      <c r="D627" s="910" t="s">
        <v>2564</v>
      </c>
      <c r="E627" s="917">
        <v>2800</v>
      </c>
      <c r="F627" s="908">
        <v>7549749</v>
      </c>
      <c r="G627" s="910" t="s">
        <v>2565</v>
      </c>
      <c r="H627" s="910" t="s">
        <v>1451</v>
      </c>
      <c r="I627" s="911" t="s">
        <v>1406</v>
      </c>
      <c r="J627" s="911" t="s">
        <v>1679</v>
      </c>
      <c r="K627" s="879">
        <v>1</v>
      </c>
      <c r="L627" s="878">
        <v>12</v>
      </c>
      <c r="M627" s="880">
        <v>33900</v>
      </c>
      <c r="N627" s="879">
        <v>1</v>
      </c>
      <c r="O627" s="878">
        <v>6</v>
      </c>
      <c r="P627" s="880">
        <v>16800</v>
      </c>
    </row>
    <row r="628" spans="1:16" ht="15.95" customHeight="1">
      <c r="A628" s="924" t="s">
        <v>2732</v>
      </c>
      <c r="B628" s="908" t="s">
        <v>1402</v>
      </c>
      <c r="C628" s="908" t="s">
        <v>96</v>
      </c>
      <c r="D628" s="910" t="s">
        <v>2566</v>
      </c>
      <c r="E628" s="917">
        <v>8000</v>
      </c>
      <c r="F628" s="908">
        <v>10085514</v>
      </c>
      <c r="G628" s="910" t="s">
        <v>2567</v>
      </c>
      <c r="H628" s="910" t="s">
        <v>1935</v>
      </c>
      <c r="I628" s="911" t="s">
        <v>1406</v>
      </c>
      <c r="J628" s="911" t="s">
        <v>1411</v>
      </c>
      <c r="K628" s="879">
        <v>1</v>
      </c>
      <c r="L628" s="878">
        <v>12</v>
      </c>
      <c r="M628" s="880">
        <v>96033.33</v>
      </c>
      <c r="N628" s="879">
        <v>1</v>
      </c>
      <c r="O628" s="878">
        <v>6</v>
      </c>
      <c r="P628" s="880">
        <v>48000</v>
      </c>
    </row>
    <row r="629" spans="1:16" ht="15.95" customHeight="1">
      <c r="A629" s="924" t="s">
        <v>2732</v>
      </c>
      <c r="B629" s="908" t="s">
        <v>1402</v>
      </c>
      <c r="C629" s="908" t="s">
        <v>96</v>
      </c>
      <c r="D629" s="910" t="s">
        <v>2568</v>
      </c>
      <c r="E629" s="917">
        <v>4000</v>
      </c>
      <c r="F629" s="908">
        <v>10374110</v>
      </c>
      <c r="G629" s="910" t="s">
        <v>2569</v>
      </c>
      <c r="H629" s="910" t="s">
        <v>1477</v>
      </c>
      <c r="I629" s="911" t="s">
        <v>1406</v>
      </c>
      <c r="J629" s="911" t="s">
        <v>1407</v>
      </c>
      <c r="K629" s="879">
        <v>1</v>
      </c>
      <c r="L629" s="878">
        <v>12</v>
      </c>
      <c r="M629" s="880">
        <v>48300</v>
      </c>
      <c r="N629" s="879">
        <v>1</v>
      </c>
      <c r="O629" s="878">
        <v>6</v>
      </c>
      <c r="P629" s="880">
        <v>24000</v>
      </c>
    </row>
    <row r="630" spans="1:16" ht="15.95" customHeight="1">
      <c r="A630" s="924" t="s">
        <v>2732</v>
      </c>
      <c r="B630" s="908" t="s">
        <v>1402</v>
      </c>
      <c r="C630" s="908" t="s">
        <v>96</v>
      </c>
      <c r="D630" s="910" t="s">
        <v>2570</v>
      </c>
      <c r="E630" s="917">
        <v>12000</v>
      </c>
      <c r="F630" s="908">
        <v>45627834</v>
      </c>
      <c r="G630" s="910" t="s">
        <v>2571</v>
      </c>
      <c r="H630" s="910" t="s">
        <v>1410</v>
      </c>
      <c r="I630" s="911" t="s">
        <v>1406</v>
      </c>
      <c r="J630" s="911" t="s">
        <v>1411</v>
      </c>
      <c r="K630" s="879">
        <v>1</v>
      </c>
      <c r="L630" s="878">
        <v>12</v>
      </c>
      <c r="M630" s="880">
        <v>124410</v>
      </c>
      <c r="N630" s="879">
        <v>1</v>
      </c>
      <c r="O630" s="878">
        <v>6</v>
      </c>
      <c r="P630" s="880">
        <v>71600</v>
      </c>
    </row>
    <row r="631" spans="1:16" ht="24">
      <c r="A631" s="924" t="s">
        <v>2732</v>
      </c>
      <c r="B631" s="908" t="s">
        <v>1402</v>
      </c>
      <c r="C631" s="908" t="s">
        <v>96</v>
      </c>
      <c r="D631" s="910" t="s">
        <v>2572</v>
      </c>
      <c r="E631" s="917">
        <v>6000</v>
      </c>
      <c r="F631" s="908">
        <v>43464443</v>
      </c>
      <c r="G631" s="910" t="s">
        <v>2573</v>
      </c>
      <c r="H631" s="910" t="s">
        <v>1461</v>
      </c>
      <c r="I631" s="911" t="s">
        <v>1406</v>
      </c>
      <c r="J631" s="911" t="s">
        <v>1411</v>
      </c>
      <c r="K631" s="879">
        <v>1</v>
      </c>
      <c r="L631" s="878">
        <v>12</v>
      </c>
      <c r="M631" s="880">
        <v>72300</v>
      </c>
      <c r="N631" s="879">
        <v>1</v>
      </c>
      <c r="O631" s="878">
        <v>6</v>
      </c>
      <c r="P631" s="880">
        <v>36000</v>
      </c>
    </row>
    <row r="632" spans="1:16" ht="15.95" customHeight="1">
      <c r="A632" s="924" t="s">
        <v>2732</v>
      </c>
      <c r="B632" s="908" t="s">
        <v>1402</v>
      </c>
      <c r="C632" s="908" t="s">
        <v>96</v>
      </c>
      <c r="D632" s="910" t="s">
        <v>2570</v>
      </c>
      <c r="E632" s="917">
        <v>12000</v>
      </c>
      <c r="F632" s="908">
        <v>9306894</v>
      </c>
      <c r="G632" s="910" t="s">
        <v>2574</v>
      </c>
      <c r="H632" s="910" t="s">
        <v>1423</v>
      </c>
      <c r="I632" s="911" t="s">
        <v>1406</v>
      </c>
      <c r="J632" s="911" t="s">
        <v>1411</v>
      </c>
      <c r="K632" s="879">
        <v>1</v>
      </c>
      <c r="L632" s="878">
        <v>12</v>
      </c>
      <c r="M632" s="880">
        <v>103903.88</v>
      </c>
      <c r="N632" s="879">
        <v>1</v>
      </c>
      <c r="O632" s="878">
        <v>6</v>
      </c>
      <c r="P632" s="880">
        <v>72000</v>
      </c>
    </row>
    <row r="633" spans="1:16" ht="15.95" customHeight="1">
      <c r="A633" s="924" t="s">
        <v>2732</v>
      </c>
      <c r="B633" s="908" t="s">
        <v>1402</v>
      </c>
      <c r="C633" s="908" t="s">
        <v>96</v>
      </c>
      <c r="D633" s="910" t="s">
        <v>1528</v>
      </c>
      <c r="E633" s="917">
        <v>7500</v>
      </c>
      <c r="F633" s="908">
        <v>46698698</v>
      </c>
      <c r="G633" s="910" t="s">
        <v>2575</v>
      </c>
      <c r="H633" s="910" t="s">
        <v>1417</v>
      </c>
      <c r="I633" s="911" t="s">
        <v>1420</v>
      </c>
      <c r="J633" s="911" t="s">
        <v>1411</v>
      </c>
      <c r="K633" s="879">
        <v>1</v>
      </c>
      <c r="L633" s="878">
        <v>12</v>
      </c>
      <c r="M633" s="880">
        <v>54300</v>
      </c>
      <c r="N633" s="879">
        <v>1</v>
      </c>
      <c r="O633" s="878">
        <v>6</v>
      </c>
      <c r="P633" s="880">
        <v>45350</v>
      </c>
    </row>
    <row r="634" spans="1:16" ht="15.95" customHeight="1">
      <c r="A634" s="924" t="s">
        <v>2732</v>
      </c>
      <c r="B634" s="908" t="s">
        <v>1402</v>
      </c>
      <c r="C634" s="908" t="s">
        <v>96</v>
      </c>
      <c r="D634" s="910" t="s">
        <v>2364</v>
      </c>
      <c r="E634" s="917">
        <v>7000</v>
      </c>
      <c r="F634" s="908">
        <v>10003451</v>
      </c>
      <c r="G634" s="910" t="s">
        <v>2576</v>
      </c>
      <c r="H634" s="910" t="s">
        <v>1483</v>
      </c>
      <c r="I634" s="911" t="s">
        <v>1406</v>
      </c>
      <c r="J634" s="911" t="s">
        <v>1420</v>
      </c>
      <c r="K634" s="879">
        <v>1</v>
      </c>
      <c r="L634" s="878">
        <v>4</v>
      </c>
      <c r="M634" s="880">
        <v>27066.67</v>
      </c>
      <c r="N634" s="879">
        <v>1</v>
      </c>
      <c r="O634" s="878">
        <v>6</v>
      </c>
      <c r="P634" s="880">
        <v>42000</v>
      </c>
    </row>
    <row r="635" spans="1:16" ht="15.95" customHeight="1">
      <c r="A635" s="924" t="s">
        <v>2732</v>
      </c>
      <c r="B635" s="908" t="s">
        <v>1402</v>
      </c>
      <c r="C635" s="908" t="s">
        <v>96</v>
      </c>
      <c r="D635" s="910" t="s">
        <v>2239</v>
      </c>
      <c r="E635" s="917">
        <v>6000</v>
      </c>
      <c r="F635" s="908">
        <v>70180809</v>
      </c>
      <c r="G635" s="910" t="s">
        <v>2577</v>
      </c>
      <c r="H635" s="910" t="s">
        <v>1461</v>
      </c>
      <c r="I635" s="911" t="s">
        <v>1420</v>
      </c>
      <c r="J635" s="911" t="s">
        <v>1411</v>
      </c>
      <c r="K635" s="879">
        <v>1</v>
      </c>
      <c r="L635" s="878">
        <v>6</v>
      </c>
      <c r="M635" s="880">
        <v>34600</v>
      </c>
      <c r="N635" s="879">
        <v>1</v>
      </c>
      <c r="O635" s="878">
        <v>6</v>
      </c>
      <c r="P635" s="880">
        <v>36000</v>
      </c>
    </row>
    <row r="636" spans="1:16" ht="24">
      <c r="A636" s="924" t="s">
        <v>2732</v>
      </c>
      <c r="B636" s="908" t="s">
        <v>1402</v>
      </c>
      <c r="C636" s="908" t="s">
        <v>96</v>
      </c>
      <c r="D636" s="910" t="s">
        <v>2578</v>
      </c>
      <c r="E636" s="917">
        <v>4700</v>
      </c>
      <c r="F636" s="908">
        <v>10168283</v>
      </c>
      <c r="G636" s="910" t="s">
        <v>2579</v>
      </c>
      <c r="H636" s="910" t="s">
        <v>1448</v>
      </c>
      <c r="I636" s="911" t="s">
        <v>1420</v>
      </c>
      <c r="J636" s="911" t="s">
        <v>1411</v>
      </c>
      <c r="K636" s="879">
        <v>1</v>
      </c>
      <c r="L636" s="878">
        <v>12</v>
      </c>
      <c r="M636" s="880">
        <v>56079.85</v>
      </c>
      <c r="N636" s="879">
        <v>1</v>
      </c>
      <c r="O636" s="878">
        <v>6</v>
      </c>
      <c r="P636" s="880">
        <v>27891.89</v>
      </c>
    </row>
    <row r="637" spans="1:16" ht="15.95" customHeight="1">
      <c r="A637" s="924" t="s">
        <v>2732</v>
      </c>
      <c r="B637" s="908" t="s">
        <v>1402</v>
      </c>
      <c r="C637" s="908" t="s">
        <v>96</v>
      </c>
      <c r="D637" s="910" t="s">
        <v>2580</v>
      </c>
      <c r="E637" s="917">
        <v>15500</v>
      </c>
      <c r="F637" s="908">
        <v>10665249</v>
      </c>
      <c r="G637" s="910" t="s">
        <v>2581</v>
      </c>
      <c r="H637" s="910" t="s">
        <v>1787</v>
      </c>
      <c r="I637" s="911" t="s">
        <v>1406</v>
      </c>
      <c r="J637" s="911" t="s">
        <v>1420</v>
      </c>
      <c r="K637" s="879">
        <v>1</v>
      </c>
      <c r="L637" s="878">
        <v>6</v>
      </c>
      <c r="M637" s="880">
        <v>89383.33</v>
      </c>
      <c r="N637" s="879">
        <v>1</v>
      </c>
      <c r="O637" s="878">
        <v>6</v>
      </c>
      <c r="P637" s="880">
        <v>91450</v>
      </c>
    </row>
    <row r="638" spans="1:16" ht="24">
      <c r="A638" s="924" t="s">
        <v>2732</v>
      </c>
      <c r="B638" s="908" t="s">
        <v>1402</v>
      </c>
      <c r="C638" s="908" t="s">
        <v>96</v>
      </c>
      <c r="D638" s="910" t="s">
        <v>2582</v>
      </c>
      <c r="E638" s="917">
        <v>9000</v>
      </c>
      <c r="F638" s="908">
        <v>6676832</v>
      </c>
      <c r="G638" s="910" t="s">
        <v>2583</v>
      </c>
      <c r="H638" s="910" t="s">
        <v>1410</v>
      </c>
      <c r="I638" s="911" t="s">
        <v>1406</v>
      </c>
      <c r="J638" s="911" t="s">
        <v>1420</v>
      </c>
      <c r="K638" s="879">
        <v>1</v>
      </c>
      <c r="L638" s="878">
        <v>4</v>
      </c>
      <c r="M638" s="880">
        <v>41700</v>
      </c>
      <c r="N638" s="879">
        <v>1</v>
      </c>
      <c r="O638" s="878">
        <v>6</v>
      </c>
      <c r="P638" s="880">
        <v>54000</v>
      </c>
    </row>
    <row r="639" spans="1:16" ht="15.95" customHeight="1">
      <c r="A639" s="924" t="s">
        <v>2732</v>
      </c>
      <c r="B639" s="908" t="s">
        <v>1402</v>
      </c>
      <c r="C639" s="908" t="s">
        <v>96</v>
      </c>
      <c r="D639" s="910" t="s">
        <v>1721</v>
      </c>
      <c r="E639" s="917">
        <v>1800</v>
      </c>
      <c r="F639" s="908">
        <v>41973779</v>
      </c>
      <c r="G639" s="910" t="s">
        <v>2584</v>
      </c>
      <c r="H639" s="910" t="s">
        <v>1410</v>
      </c>
      <c r="I639" s="911" t="s">
        <v>1406</v>
      </c>
      <c r="J639" s="911" t="s">
        <v>1411</v>
      </c>
      <c r="K639" s="879">
        <v>1</v>
      </c>
      <c r="L639" s="878">
        <v>6</v>
      </c>
      <c r="M639" s="880">
        <v>10320</v>
      </c>
      <c r="N639" s="879">
        <v>1</v>
      </c>
      <c r="O639" s="878">
        <v>6</v>
      </c>
      <c r="P639" s="880">
        <v>10740</v>
      </c>
    </row>
    <row r="640" spans="1:16" ht="15.95" customHeight="1">
      <c r="A640" s="924" t="s">
        <v>2732</v>
      </c>
      <c r="B640" s="908" t="s">
        <v>1402</v>
      </c>
      <c r="C640" s="908" t="s">
        <v>96</v>
      </c>
      <c r="D640" s="910" t="s">
        <v>1951</v>
      </c>
      <c r="E640" s="917">
        <v>7000</v>
      </c>
      <c r="F640" s="908">
        <v>5347811</v>
      </c>
      <c r="G640" s="910" t="s">
        <v>2585</v>
      </c>
      <c r="H640" s="910" t="s">
        <v>1584</v>
      </c>
      <c r="I640" s="911" t="s">
        <v>1406</v>
      </c>
      <c r="J640" s="911" t="s">
        <v>1420</v>
      </c>
      <c r="K640" s="879">
        <v>1</v>
      </c>
      <c r="L640" s="878">
        <v>4</v>
      </c>
      <c r="M640" s="880">
        <v>27066.67</v>
      </c>
      <c r="N640" s="879">
        <v>1</v>
      </c>
      <c r="O640" s="878">
        <v>6</v>
      </c>
      <c r="P640" s="880">
        <v>41541.11</v>
      </c>
    </row>
    <row r="641" spans="1:16" ht="15.95" customHeight="1">
      <c r="A641" s="924" t="s">
        <v>2732</v>
      </c>
      <c r="B641" s="908" t="s">
        <v>1402</v>
      </c>
      <c r="C641" s="908" t="s">
        <v>96</v>
      </c>
      <c r="D641" s="910" t="s">
        <v>2586</v>
      </c>
      <c r="E641" s="917">
        <v>3000</v>
      </c>
      <c r="F641" s="908">
        <v>43284875</v>
      </c>
      <c r="G641" s="910" t="s">
        <v>2587</v>
      </c>
      <c r="H641" s="910" t="s">
        <v>1451</v>
      </c>
      <c r="I641" s="911" t="s">
        <v>1424</v>
      </c>
      <c r="J641" s="911" t="s">
        <v>1679</v>
      </c>
      <c r="K641" s="879">
        <v>1</v>
      </c>
      <c r="L641" s="878">
        <v>12</v>
      </c>
      <c r="M641" s="880">
        <v>36000</v>
      </c>
      <c r="N641" s="879">
        <v>1</v>
      </c>
      <c r="O641" s="878">
        <v>6</v>
      </c>
      <c r="P641" s="880">
        <v>18000</v>
      </c>
    </row>
    <row r="642" spans="1:16" ht="15.95" customHeight="1">
      <c r="A642" s="924" t="s">
        <v>2732</v>
      </c>
      <c r="B642" s="908" t="s">
        <v>1402</v>
      </c>
      <c r="C642" s="908" t="s">
        <v>96</v>
      </c>
      <c r="D642" s="910" t="s">
        <v>2532</v>
      </c>
      <c r="E642" s="917">
        <v>6000</v>
      </c>
      <c r="F642" s="908">
        <v>45815154</v>
      </c>
      <c r="G642" s="910" t="s">
        <v>2588</v>
      </c>
      <c r="H642" s="910" t="s">
        <v>1670</v>
      </c>
      <c r="I642" s="911" t="s">
        <v>1406</v>
      </c>
      <c r="J642" s="911" t="s">
        <v>1420</v>
      </c>
      <c r="K642" s="879">
        <v>1</v>
      </c>
      <c r="L642" s="878">
        <v>2</v>
      </c>
      <c r="M642" s="880">
        <v>14000</v>
      </c>
      <c r="N642" s="879">
        <v>1</v>
      </c>
      <c r="O642" s="878">
        <v>6</v>
      </c>
      <c r="P642" s="880">
        <v>35600</v>
      </c>
    </row>
    <row r="643" spans="1:16" ht="24">
      <c r="A643" s="924" t="s">
        <v>2732</v>
      </c>
      <c r="B643" s="908" t="s">
        <v>1402</v>
      </c>
      <c r="C643" s="908" t="s">
        <v>96</v>
      </c>
      <c r="D643" s="910" t="s">
        <v>2589</v>
      </c>
      <c r="E643" s="917">
        <v>12500</v>
      </c>
      <c r="F643" s="908">
        <v>24006024</v>
      </c>
      <c r="G643" s="910" t="s">
        <v>2590</v>
      </c>
      <c r="H643" s="910" t="s">
        <v>1442</v>
      </c>
      <c r="I643" s="911" t="s">
        <v>1406</v>
      </c>
      <c r="J643" s="911" t="s">
        <v>1411</v>
      </c>
      <c r="K643" s="879">
        <v>1</v>
      </c>
      <c r="L643" s="878">
        <v>3</v>
      </c>
      <c r="M643" s="880">
        <v>37500</v>
      </c>
      <c r="N643" s="879">
        <v>0</v>
      </c>
      <c r="O643" s="878" t="s">
        <v>2731</v>
      </c>
      <c r="P643" s="880">
        <v>0</v>
      </c>
    </row>
    <row r="644" spans="1:16" ht="15.95" customHeight="1">
      <c r="A644" s="924" t="s">
        <v>2732</v>
      </c>
      <c r="B644" s="908" t="s">
        <v>1402</v>
      </c>
      <c r="C644" s="908" t="s">
        <v>96</v>
      </c>
      <c r="D644" s="910" t="s">
        <v>2591</v>
      </c>
      <c r="E644" s="917">
        <v>3700</v>
      </c>
      <c r="F644" s="908">
        <v>9532801</v>
      </c>
      <c r="G644" s="910" t="s">
        <v>2592</v>
      </c>
      <c r="H644" s="910" t="s">
        <v>2232</v>
      </c>
      <c r="I644" s="911" t="s">
        <v>1480</v>
      </c>
      <c r="J644" s="911" t="s">
        <v>1411</v>
      </c>
      <c r="K644" s="879">
        <v>1</v>
      </c>
      <c r="L644" s="878">
        <v>12</v>
      </c>
      <c r="M644" s="880">
        <v>44700</v>
      </c>
      <c r="N644" s="879">
        <v>1</v>
      </c>
      <c r="O644" s="878">
        <v>6</v>
      </c>
      <c r="P644" s="880">
        <v>22200</v>
      </c>
    </row>
    <row r="645" spans="1:16" ht="15.95" customHeight="1">
      <c r="A645" s="924" t="s">
        <v>2732</v>
      </c>
      <c r="B645" s="908" t="s">
        <v>1402</v>
      </c>
      <c r="C645" s="908" t="s">
        <v>96</v>
      </c>
      <c r="D645" s="910" t="s">
        <v>2593</v>
      </c>
      <c r="E645" s="917">
        <v>10000</v>
      </c>
      <c r="F645" s="908">
        <v>6007118</v>
      </c>
      <c r="G645" s="910" t="s">
        <v>2594</v>
      </c>
      <c r="H645" s="910" t="s">
        <v>1417</v>
      </c>
      <c r="I645" s="911" t="s">
        <v>1420</v>
      </c>
      <c r="J645" s="911" t="s">
        <v>1411</v>
      </c>
      <c r="K645" s="879">
        <v>1</v>
      </c>
      <c r="L645" s="878">
        <v>12</v>
      </c>
      <c r="M645" s="880">
        <v>120300</v>
      </c>
      <c r="N645" s="879">
        <v>1</v>
      </c>
      <c r="O645" s="878">
        <v>6</v>
      </c>
      <c r="P645" s="880">
        <v>60000</v>
      </c>
    </row>
    <row r="646" spans="1:16" ht="15.95" customHeight="1">
      <c r="A646" s="924" t="s">
        <v>2732</v>
      </c>
      <c r="B646" s="908" t="s">
        <v>1402</v>
      </c>
      <c r="C646" s="908" t="s">
        <v>96</v>
      </c>
      <c r="D646" s="910" t="s">
        <v>2595</v>
      </c>
      <c r="E646" s="917">
        <v>10500</v>
      </c>
      <c r="F646" s="908">
        <v>28291111</v>
      </c>
      <c r="G646" s="910" t="s">
        <v>2596</v>
      </c>
      <c r="H646" s="910" t="s">
        <v>1417</v>
      </c>
      <c r="I646" s="911" t="s">
        <v>1406</v>
      </c>
      <c r="J646" s="911" t="s">
        <v>1411</v>
      </c>
      <c r="K646" s="879">
        <v>1</v>
      </c>
      <c r="L646" s="878">
        <v>3</v>
      </c>
      <c r="M646" s="880">
        <v>27423.23</v>
      </c>
      <c r="N646" s="879">
        <v>0</v>
      </c>
      <c r="O646" s="878" t="s">
        <v>2731</v>
      </c>
      <c r="P646" s="880">
        <v>0</v>
      </c>
    </row>
    <row r="647" spans="1:16" ht="24">
      <c r="A647" s="924" t="s">
        <v>2732</v>
      </c>
      <c r="B647" s="908" t="s">
        <v>1402</v>
      </c>
      <c r="C647" s="908" t="s">
        <v>96</v>
      </c>
      <c r="D647" s="910" t="s">
        <v>2597</v>
      </c>
      <c r="E647" s="917">
        <v>9000</v>
      </c>
      <c r="F647" s="908">
        <v>7718382</v>
      </c>
      <c r="G647" s="910" t="s">
        <v>2598</v>
      </c>
      <c r="H647" s="910" t="s">
        <v>1410</v>
      </c>
      <c r="I647" s="911" t="s">
        <v>1406</v>
      </c>
      <c r="J647" s="911" t="s">
        <v>1420</v>
      </c>
      <c r="K647" s="879">
        <v>1</v>
      </c>
      <c r="L647" s="878">
        <v>6</v>
      </c>
      <c r="M647" s="880">
        <v>51900</v>
      </c>
      <c r="N647" s="879">
        <v>1</v>
      </c>
      <c r="O647" s="878">
        <v>6</v>
      </c>
      <c r="P647" s="880">
        <v>54000</v>
      </c>
    </row>
    <row r="648" spans="1:16" ht="15.95" customHeight="1">
      <c r="A648" s="924" t="s">
        <v>2732</v>
      </c>
      <c r="B648" s="908" t="s">
        <v>1402</v>
      </c>
      <c r="C648" s="908" t="s">
        <v>96</v>
      </c>
      <c r="D648" s="910" t="s">
        <v>2599</v>
      </c>
      <c r="E648" s="917">
        <v>3000</v>
      </c>
      <c r="F648" s="908">
        <v>41518219</v>
      </c>
      <c r="G648" s="910" t="s">
        <v>2600</v>
      </c>
      <c r="H648" s="910" t="s">
        <v>1451</v>
      </c>
      <c r="I648" s="911" t="s">
        <v>1452</v>
      </c>
      <c r="J648" s="911" t="s">
        <v>1451</v>
      </c>
      <c r="K648" s="879">
        <v>1</v>
      </c>
      <c r="L648" s="878">
        <v>12</v>
      </c>
      <c r="M648" s="880">
        <v>36300</v>
      </c>
      <c r="N648" s="879">
        <v>1</v>
      </c>
      <c r="O648" s="878">
        <v>5</v>
      </c>
      <c r="P648" s="880">
        <v>15000</v>
      </c>
    </row>
    <row r="649" spans="1:16" ht="15.95" customHeight="1">
      <c r="A649" s="924" t="s">
        <v>2732</v>
      </c>
      <c r="B649" s="908" t="s">
        <v>1402</v>
      </c>
      <c r="C649" s="908" t="s">
        <v>96</v>
      </c>
      <c r="D649" s="910" t="s">
        <v>2413</v>
      </c>
      <c r="E649" s="917">
        <v>6500</v>
      </c>
      <c r="F649" s="908">
        <v>46336153</v>
      </c>
      <c r="G649" s="910" t="s">
        <v>2601</v>
      </c>
      <c r="H649" s="910" t="s">
        <v>1471</v>
      </c>
      <c r="I649" s="911" t="s">
        <v>1406</v>
      </c>
      <c r="J649" s="911" t="s">
        <v>1411</v>
      </c>
      <c r="K649" s="879">
        <v>1</v>
      </c>
      <c r="L649" s="878">
        <v>12</v>
      </c>
      <c r="M649" s="880">
        <v>78300</v>
      </c>
      <c r="N649" s="879">
        <v>1</v>
      </c>
      <c r="O649" s="878">
        <v>6</v>
      </c>
      <c r="P649" s="880">
        <v>39000</v>
      </c>
    </row>
    <row r="650" spans="1:16" ht="24">
      <c r="A650" s="924" t="s">
        <v>2732</v>
      </c>
      <c r="B650" s="908" t="s">
        <v>1402</v>
      </c>
      <c r="C650" s="908" t="s">
        <v>96</v>
      </c>
      <c r="D650" s="910" t="s">
        <v>2602</v>
      </c>
      <c r="E650" s="917">
        <v>7500</v>
      </c>
      <c r="F650" s="908">
        <v>10361992</v>
      </c>
      <c r="G650" s="910" t="s">
        <v>2603</v>
      </c>
      <c r="H650" s="910" t="s">
        <v>1787</v>
      </c>
      <c r="I650" s="911" t="s">
        <v>1420</v>
      </c>
      <c r="J650" s="911" t="s">
        <v>1411</v>
      </c>
      <c r="K650" s="879">
        <v>1</v>
      </c>
      <c r="L650" s="878">
        <v>12</v>
      </c>
      <c r="M650" s="880">
        <v>90040</v>
      </c>
      <c r="N650" s="879">
        <v>1</v>
      </c>
      <c r="O650" s="878">
        <v>6</v>
      </c>
      <c r="P650" s="880">
        <v>45000</v>
      </c>
    </row>
    <row r="651" spans="1:16" ht="15.95" customHeight="1">
      <c r="A651" s="924" t="s">
        <v>2732</v>
      </c>
      <c r="B651" s="908" t="s">
        <v>1402</v>
      </c>
      <c r="C651" s="908" t="s">
        <v>96</v>
      </c>
      <c r="D651" s="910" t="s">
        <v>2561</v>
      </c>
      <c r="E651" s="917">
        <v>2500</v>
      </c>
      <c r="F651" s="908">
        <v>6782072</v>
      </c>
      <c r="G651" s="910" t="s">
        <v>2604</v>
      </c>
      <c r="H651" s="910" t="s">
        <v>2232</v>
      </c>
      <c r="I651" s="911" t="s">
        <v>1480</v>
      </c>
      <c r="J651" s="911" t="s">
        <v>1407</v>
      </c>
      <c r="K651" s="879">
        <v>1</v>
      </c>
      <c r="L651" s="878">
        <v>12</v>
      </c>
      <c r="M651" s="880">
        <v>30216.67</v>
      </c>
      <c r="N651" s="879">
        <v>1</v>
      </c>
      <c r="O651" s="878">
        <v>6</v>
      </c>
      <c r="P651" s="880">
        <v>15000</v>
      </c>
    </row>
    <row r="652" spans="1:16" ht="24">
      <c r="A652" s="924" t="s">
        <v>2732</v>
      </c>
      <c r="B652" s="908" t="s">
        <v>1402</v>
      </c>
      <c r="C652" s="908" t="s">
        <v>96</v>
      </c>
      <c r="D652" s="910" t="s">
        <v>1646</v>
      </c>
      <c r="E652" s="917">
        <v>10000</v>
      </c>
      <c r="F652" s="908">
        <v>87601</v>
      </c>
      <c r="G652" s="910" t="s">
        <v>2605</v>
      </c>
      <c r="H652" s="910" t="s">
        <v>2606</v>
      </c>
      <c r="I652" s="911" t="s">
        <v>1406</v>
      </c>
      <c r="J652" s="911" t="s">
        <v>1411</v>
      </c>
      <c r="K652" s="879">
        <v>1</v>
      </c>
      <c r="L652" s="878">
        <v>10</v>
      </c>
      <c r="M652" s="880">
        <v>103633.3</v>
      </c>
      <c r="N652" s="879">
        <v>1</v>
      </c>
      <c r="O652" s="878">
        <v>6</v>
      </c>
      <c r="P652" s="880">
        <v>60000</v>
      </c>
    </row>
    <row r="653" spans="1:16" ht="15.95" customHeight="1">
      <c r="A653" s="924" t="s">
        <v>2732</v>
      </c>
      <c r="B653" s="908" t="s">
        <v>1402</v>
      </c>
      <c r="C653" s="908" t="s">
        <v>96</v>
      </c>
      <c r="D653" s="910" t="s">
        <v>2607</v>
      </c>
      <c r="E653" s="917">
        <v>6000</v>
      </c>
      <c r="F653" s="908">
        <v>43776382</v>
      </c>
      <c r="G653" s="910" t="s">
        <v>2608</v>
      </c>
      <c r="H653" s="910" t="s">
        <v>2269</v>
      </c>
      <c r="I653" s="911" t="s">
        <v>1420</v>
      </c>
      <c r="J653" s="911" t="s">
        <v>1411</v>
      </c>
      <c r="K653" s="879">
        <v>1</v>
      </c>
      <c r="L653" s="878">
        <v>7</v>
      </c>
      <c r="M653" s="880">
        <v>37869.58</v>
      </c>
      <c r="N653" s="879">
        <v>0</v>
      </c>
      <c r="O653" s="878" t="s">
        <v>2731</v>
      </c>
      <c r="P653" s="880">
        <v>0</v>
      </c>
    </row>
    <row r="654" spans="1:16" ht="24">
      <c r="A654" s="924" t="s">
        <v>2732</v>
      </c>
      <c r="B654" s="908" t="s">
        <v>1402</v>
      </c>
      <c r="C654" s="908" t="s">
        <v>96</v>
      </c>
      <c r="D654" s="910" t="s">
        <v>2609</v>
      </c>
      <c r="E654" s="917">
        <v>7000</v>
      </c>
      <c r="F654" s="908">
        <v>41498377</v>
      </c>
      <c r="G654" s="910" t="s">
        <v>2610</v>
      </c>
      <c r="H654" s="910" t="s">
        <v>2611</v>
      </c>
      <c r="I654" s="911" t="s">
        <v>1406</v>
      </c>
      <c r="J654" s="911" t="s">
        <v>1411</v>
      </c>
      <c r="K654" s="879">
        <v>1</v>
      </c>
      <c r="L654" s="878">
        <v>4</v>
      </c>
      <c r="M654" s="880">
        <v>27066.67</v>
      </c>
      <c r="N654" s="879">
        <v>1</v>
      </c>
      <c r="O654" s="878">
        <v>1</v>
      </c>
      <c r="P654" s="880">
        <v>1866.64</v>
      </c>
    </row>
    <row r="655" spans="1:16" ht="15.95" customHeight="1">
      <c r="A655" s="924" t="s">
        <v>2732</v>
      </c>
      <c r="B655" s="908" t="s">
        <v>1402</v>
      </c>
      <c r="C655" s="908" t="s">
        <v>96</v>
      </c>
      <c r="D655" s="910" t="s">
        <v>2612</v>
      </c>
      <c r="E655" s="917">
        <v>13000</v>
      </c>
      <c r="F655" s="908">
        <v>20120465</v>
      </c>
      <c r="G655" s="910" t="s">
        <v>2613</v>
      </c>
      <c r="H655" s="910" t="s">
        <v>1670</v>
      </c>
      <c r="I655" s="911" t="s">
        <v>1406</v>
      </c>
      <c r="J655" s="911" t="s">
        <v>1411</v>
      </c>
      <c r="K655" s="879">
        <v>1</v>
      </c>
      <c r="L655" s="878">
        <v>8</v>
      </c>
      <c r="M655" s="880">
        <v>103171.02</v>
      </c>
      <c r="N655" s="879">
        <v>0</v>
      </c>
      <c r="O655" s="878" t="s">
        <v>2731</v>
      </c>
      <c r="P655" s="880">
        <v>0</v>
      </c>
    </row>
    <row r="656" spans="1:16" ht="15.95" customHeight="1">
      <c r="A656" s="924" t="s">
        <v>2732</v>
      </c>
      <c r="B656" s="908" t="s">
        <v>1402</v>
      </c>
      <c r="C656" s="908" t="s">
        <v>96</v>
      </c>
      <c r="D656" s="910" t="s">
        <v>1613</v>
      </c>
      <c r="E656" s="917">
        <v>10500</v>
      </c>
      <c r="F656" s="908">
        <v>9670112</v>
      </c>
      <c r="G656" s="910" t="s">
        <v>2614</v>
      </c>
      <c r="H656" s="910" t="s">
        <v>1410</v>
      </c>
      <c r="I656" s="911" t="s">
        <v>1406</v>
      </c>
      <c r="J656" s="911" t="s">
        <v>1411</v>
      </c>
      <c r="K656" s="879">
        <v>1</v>
      </c>
      <c r="L656" s="878">
        <v>12</v>
      </c>
      <c r="M656" s="880">
        <v>119514.95</v>
      </c>
      <c r="N656" s="879">
        <v>1</v>
      </c>
      <c r="O656" s="878">
        <v>6</v>
      </c>
      <c r="P656" s="880">
        <v>63000</v>
      </c>
    </row>
    <row r="657" spans="1:16" ht="24">
      <c r="A657" s="924" t="s">
        <v>2732</v>
      </c>
      <c r="B657" s="908" t="s">
        <v>1402</v>
      </c>
      <c r="C657" s="908" t="s">
        <v>96</v>
      </c>
      <c r="D657" s="910" t="s">
        <v>2615</v>
      </c>
      <c r="E657" s="917">
        <v>12000</v>
      </c>
      <c r="F657" s="908">
        <v>25508985</v>
      </c>
      <c r="G657" s="910" t="s">
        <v>2616</v>
      </c>
      <c r="H657" s="910" t="s">
        <v>1584</v>
      </c>
      <c r="I657" s="911" t="s">
        <v>1406</v>
      </c>
      <c r="J657" s="911" t="s">
        <v>1411</v>
      </c>
      <c r="K657" s="879">
        <v>1</v>
      </c>
      <c r="L657" s="878">
        <v>11</v>
      </c>
      <c r="M657" s="880">
        <v>132300</v>
      </c>
      <c r="N657" s="879">
        <v>0</v>
      </c>
      <c r="O657" s="878" t="s">
        <v>2731</v>
      </c>
      <c r="P657" s="880">
        <v>0</v>
      </c>
    </row>
    <row r="658" spans="1:16" ht="15.95" customHeight="1">
      <c r="A658" s="924" t="s">
        <v>2732</v>
      </c>
      <c r="B658" s="908" t="s">
        <v>1402</v>
      </c>
      <c r="C658" s="908" t="s">
        <v>96</v>
      </c>
      <c r="D658" s="910" t="s">
        <v>1816</v>
      </c>
      <c r="E658" s="917">
        <v>9000</v>
      </c>
      <c r="F658" s="908">
        <v>10292800</v>
      </c>
      <c r="G658" s="910" t="s">
        <v>2617</v>
      </c>
      <c r="H658" s="910" t="s">
        <v>1410</v>
      </c>
      <c r="I658" s="911" t="s">
        <v>1406</v>
      </c>
      <c r="J658" s="911" t="s">
        <v>1420</v>
      </c>
      <c r="K658" s="879">
        <v>1</v>
      </c>
      <c r="L658" s="878">
        <v>4</v>
      </c>
      <c r="M658" s="880">
        <v>34800</v>
      </c>
      <c r="N658" s="879">
        <v>1</v>
      </c>
      <c r="O658" s="878">
        <v>6</v>
      </c>
      <c r="P658" s="880">
        <v>53760.62</v>
      </c>
    </row>
    <row r="659" spans="1:16" ht="15.95" customHeight="1">
      <c r="A659" s="924" t="s">
        <v>2732</v>
      </c>
      <c r="B659" s="908" t="s">
        <v>1402</v>
      </c>
      <c r="C659" s="908" t="s">
        <v>96</v>
      </c>
      <c r="D659" s="910" t="s">
        <v>2618</v>
      </c>
      <c r="E659" s="917">
        <v>8500</v>
      </c>
      <c r="F659" s="908">
        <v>7296276</v>
      </c>
      <c r="G659" s="910" t="s">
        <v>2619</v>
      </c>
      <c r="H659" s="910" t="s">
        <v>1565</v>
      </c>
      <c r="I659" s="911" t="s">
        <v>1406</v>
      </c>
      <c r="J659" s="911" t="s">
        <v>1420</v>
      </c>
      <c r="K659" s="879">
        <v>1</v>
      </c>
      <c r="L659" s="878">
        <v>4</v>
      </c>
      <c r="M659" s="880">
        <v>32866.67</v>
      </c>
      <c r="N659" s="879">
        <v>1</v>
      </c>
      <c r="O659" s="878">
        <v>6</v>
      </c>
      <c r="P659" s="880">
        <v>51000</v>
      </c>
    </row>
    <row r="660" spans="1:16" ht="24">
      <c r="A660" s="924" t="s">
        <v>2732</v>
      </c>
      <c r="B660" s="908" t="s">
        <v>1402</v>
      </c>
      <c r="C660" s="908" t="s">
        <v>96</v>
      </c>
      <c r="D660" s="910" t="s">
        <v>2620</v>
      </c>
      <c r="E660" s="917">
        <v>6000</v>
      </c>
      <c r="F660" s="908">
        <v>46189745</v>
      </c>
      <c r="G660" s="910" t="s">
        <v>2621</v>
      </c>
      <c r="H660" s="910" t="s">
        <v>1625</v>
      </c>
      <c r="I660" s="911" t="s">
        <v>1406</v>
      </c>
      <c r="J660" s="911" t="s">
        <v>1411</v>
      </c>
      <c r="K660" s="879">
        <v>1</v>
      </c>
      <c r="L660" s="878">
        <v>12</v>
      </c>
      <c r="M660" s="880">
        <v>72300</v>
      </c>
      <c r="N660" s="879">
        <v>1</v>
      </c>
      <c r="O660" s="878">
        <v>6</v>
      </c>
      <c r="P660" s="880">
        <v>36000</v>
      </c>
    </row>
    <row r="661" spans="1:16" ht="24">
      <c r="A661" s="924" t="s">
        <v>2732</v>
      </c>
      <c r="B661" s="908" t="s">
        <v>1402</v>
      </c>
      <c r="C661" s="908" t="s">
        <v>96</v>
      </c>
      <c r="D661" s="910" t="s">
        <v>2622</v>
      </c>
      <c r="E661" s="917">
        <v>4500</v>
      </c>
      <c r="F661" s="908">
        <v>47102023</v>
      </c>
      <c r="G661" s="910" t="s">
        <v>2623</v>
      </c>
      <c r="H661" s="910" t="s">
        <v>1509</v>
      </c>
      <c r="I661" s="911" t="s">
        <v>1406</v>
      </c>
      <c r="J661" s="911" t="s">
        <v>1411</v>
      </c>
      <c r="K661" s="879">
        <v>1</v>
      </c>
      <c r="L661" s="878">
        <v>9</v>
      </c>
      <c r="M661" s="880">
        <v>42300</v>
      </c>
      <c r="N661" s="879">
        <v>1</v>
      </c>
      <c r="O661" s="878">
        <v>6</v>
      </c>
      <c r="P661" s="880">
        <v>27000</v>
      </c>
    </row>
    <row r="662" spans="1:16" ht="24">
      <c r="A662" s="924" t="s">
        <v>2732</v>
      </c>
      <c r="B662" s="908" t="s">
        <v>1402</v>
      </c>
      <c r="C662" s="908" t="s">
        <v>96</v>
      </c>
      <c r="D662" s="910" t="s">
        <v>2624</v>
      </c>
      <c r="E662" s="917">
        <v>10000</v>
      </c>
      <c r="F662" s="908">
        <v>9869570</v>
      </c>
      <c r="G662" s="910" t="s">
        <v>2625</v>
      </c>
      <c r="H662" s="910" t="s">
        <v>1410</v>
      </c>
      <c r="I662" s="911" t="s">
        <v>1406</v>
      </c>
      <c r="J662" s="911" t="s">
        <v>1411</v>
      </c>
      <c r="K662" s="879">
        <v>1</v>
      </c>
      <c r="L662" s="878">
        <v>12</v>
      </c>
      <c r="M662" s="880">
        <v>120300</v>
      </c>
      <c r="N662" s="879">
        <v>1</v>
      </c>
      <c r="O662" s="878">
        <v>6</v>
      </c>
      <c r="P662" s="880">
        <v>60000</v>
      </c>
    </row>
    <row r="663" spans="1:16" ht="24">
      <c r="A663" s="924" t="s">
        <v>2732</v>
      </c>
      <c r="B663" s="908" t="s">
        <v>1402</v>
      </c>
      <c r="C663" s="908" t="s">
        <v>96</v>
      </c>
      <c r="D663" s="910" t="s">
        <v>2626</v>
      </c>
      <c r="E663" s="917">
        <v>8000</v>
      </c>
      <c r="F663" s="908">
        <v>40103290</v>
      </c>
      <c r="G663" s="910" t="s">
        <v>2627</v>
      </c>
      <c r="H663" s="910" t="s">
        <v>2628</v>
      </c>
      <c r="I663" s="911" t="s">
        <v>1406</v>
      </c>
      <c r="J663" s="911" t="s">
        <v>1411</v>
      </c>
      <c r="K663" s="879">
        <v>1</v>
      </c>
      <c r="L663" s="878">
        <v>12</v>
      </c>
      <c r="M663" s="880">
        <v>74600.97</v>
      </c>
      <c r="N663" s="879">
        <v>1</v>
      </c>
      <c r="O663" s="878">
        <v>6</v>
      </c>
      <c r="P663" s="880">
        <v>43860</v>
      </c>
    </row>
    <row r="664" spans="1:16">
      <c r="A664" s="924" t="s">
        <v>2732</v>
      </c>
      <c r="B664" s="908" t="s">
        <v>1402</v>
      </c>
      <c r="C664" s="908" t="s">
        <v>96</v>
      </c>
      <c r="D664" s="910" t="s">
        <v>1478</v>
      </c>
      <c r="E664" s="917">
        <v>3500</v>
      </c>
      <c r="F664" s="908">
        <v>9679716</v>
      </c>
      <c r="G664" s="910" t="s">
        <v>2629</v>
      </c>
      <c r="H664" s="910" t="s">
        <v>1565</v>
      </c>
      <c r="I664" s="911" t="s">
        <v>1406</v>
      </c>
      <c r="J664" s="911" t="s">
        <v>1420</v>
      </c>
      <c r="K664" s="879">
        <v>1</v>
      </c>
      <c r="L664" s="878">
        <v>2</v>
      </c>
      <c r="M664" s="880">
        <v>8166.67</v>
      </c>
      <c r="N664" s="879">
        <v>1</v>
      </c>
      <c r="O664" s="878">
        <v>6</v>
      </c>
      <c r="P664" s="880">
        <v>20766.669999999998</v>
      </c>
    </row>
    <row r="665" spans="1:16" ht="24">
      <c r="A665" s="924" t="s">
        <v>2732</v>
      </c>
      <c r="B665" s="908" t="s">
        <v>1402</v>
      </c>
      <c r="C665" s="908" t="s">
        <v>96</v>
      </c>
      <c r="D665" s="910" t="s">
        <v>2630</v>
      </c>
      <c r="E665" s="917">
        <v>9000</v>
      </c>
      <c r="F665" s="908">
        <v>9338842</v>
      </c>
      <c r="G665" s="910" t="s">
        <v>2631</v>
      </c>
      <c r="H665" s="910" t="s">
        <v>1410</v>
      </c>
      <c r="I665" s="911" t="s">
        <v>1420</v>
      </c>
      <c r="J665" s="911" t="s">
        <v>1411</v>
      </c>
      <c r="K665" s="879">
        <v>1</v>
      </c>
      <c r="L665" s="878">
        <v>12</v>
      </c>
      <c r="M665" s="880">
        <v>91800</v>
      </c>
      <c r="N665" s="879">
        <v>1</v>
      </c>
      <c r="O665" s="878">
        <v>6</v>
      </c>
      <c r="P665" s="880">
        <v>54000</v>
      </c>
    </row>
    <row r="666" spans="1:16">
      <c r="A666" s="924" t="s">
        <v>2732</v>
      </c>
      <c r="B666" s="908" t="s">
        <v>1402</v>
      </c>
      <c r="C666" s="908" t="s">
        <v>96</v>
      </c>
      <c r="D666" s="910" t="s">
        <v>1891</v>
      </c>
      <c r="E666" s="917">
        <v>15600</v>
      </c>
      <c r="F666" s="908">
        <v>40395493</v>
      </c>
      <c r="G666" s="910" t="s">
        <v>2632</v>
      </c>
      <c r="H666" s="910" t="s">
        <v>1923</v>
      </c>
      <c r="I666" s="911" t="s">
        <v>1420</v>
      </c>
      <c r="J666" s="911" t="s">
        <v>1411</v>
      </c>
      <c r="K666" s="879">
        <v>1</v>
      </c>
      <c r="L666" s="878">
        <v>5</v>
      </c>
      <c r="M666" s="880">
        <v>78000</v>
      </c>
      <c r="N666" s="879">
        <v>0</v>
      </c>
      <c r="O666" s="878" t="s">
        <v>2731</v>
      </c>
      <c r="P666" s="880">
        <v>0</v>
      </c>
    </row>
    <row r="667" spans="1:16" ht="24">
      <c r="A667" s="924" t="s">
        <v>2732</v>
      </c>
      <c r="B667" s="908" t="s">
        <v>1402</v>
      </c>
      <c r="C667" s="908" t="s">
        <v>96</v>
      </c>
      <c r="D667" s="910" t="s">
        <v>2633</v>
      </c>
      <c r="E667" s="917">
        <v>3500</v>
      </c>
      <c r="F667" s="908">
        <v>41200351</v>
      </c>
      <c r="G667" s="910" t="s">
        <v>2634</v>
      </c>
      <c r="H667" s="910" t="s">
        <v>1451</v>
      </c>
      <c r="I667" s="911" t="s">
        <v>1452</v>
      </c>
      <c r="J667" s="911" t="s">
        <v>1451</v>
      </c>
      <c r="K667" s="879">
        <v>1</v>
      </c>
      <c r="L667" s="878">
        <v>12</v>
      </c>
      <c r="M667" s="880">
        <v>42183.33</v>
      </c>
      <c r="N667" s="879">
        <v>1</v>
      </c>
      <c r="O667" s="878">
        <v>6</v>
      </c>
      <c r="P667" s="880">
        <v>20544.989999999998</v>
      </c>
    </row>
    <row r="668" spans="1:16" ht="15.95" customHeight="1">
      <c r="A668" s="924" t="s">
        <v>2732</v>
      </c>
      <c r="B668" s="908" t="s">
        <v>1402</v>
      </c>
      <c r="C668" s="908" t="s">
        <v>96</v>
      </c>
      <c r="D668" s="910" t="s">
        <v>2362</v>
      </c>
      <c r="E668" s="917">
        <v>6000</v>
      </c>
      <c r="F668" s="908">
        <v>46870475</v>
      </c>
      <c r="G668" s="910" t="s">
        <v>2635</v>
      </c>
      <c r="H668" s="910" t="s">
        <v>1461</v>
      </c>
      <c r="I668" s="911" t="s">
        <v>1406</v>
      </c>
      <c r="J668" s="911" t="s">
        <v>1420</v>
      </c>
      <c r="K668" s="879">
        <v>1</v>
      </c>
      <c r="L668" s="878">
        <v>4</v>
      </c>
      <c r="M668" s="880">
        <v>22200</v>
      </c>
      <c r="N668" s="879">
        <v>1</v>
      </c>
      <c r="O668" s="878">
        <v>6</v>
      </c>
      <c r="P668" s="880">
        <v>36000</v>
      </c>
    </row>
    <row r="669" spans="1:16" ht="15.95" customHeight="1">
      <c r="A669" s="924" t="s">
        <v>2732</v>
      </c>
      <c r="B669" s="908" t="s">
        <v>1402</v>
      </c>
      <c r="C669" s="908" t="s">
        <v>96</v>
      </c>
      <c r="D669" s="910" t="s">
        <v>1657</v>
      </c>
      <c r="E669" s="917">
        <v>3500</v>
      </c>
      <c r="F669" s="908">
        <v>33409039</v>
      </c>
      <c r="G669" s="910" t="s">
        <v>2636</v>
      </c>
      <c r="H669" s="910" t="s">
        <v>1776</v>
      </c>
      <c r="I669" s="911" t="s">
        <v>1420</v>
      </c>
      <c r="J669" s="911" t="s">
        <v>1420</v>
      </c>
      <c r="K669" s="879">
        <v>1</v>
      </c>
      <c r="L669" s="878">
        <v>6</v>
      </c>
      <c r="M669" s="880">
        <v>20183.330000000002</v>
      </c>
      <c r="N669" s="879">
        <v>1</v>
      </c>
      <c r="O669" s="878">
        <v>6</v>
      </c>
      <c r="P669" s="880">
        <v>21000</v>
      </c>
    </row>
    <row r="670" spans="1:16" ht="15.95" customHeight="1">
      <c r="A670" s="924" t="s">
        <v>2732</v>
      </c>
      <c r="B670" s="908" t="s">
        <v>1402</v>
      </c>
      <c r="C670" s="908" t="s">
        <v>96</v>
      </c>
      <c r="D670" s="910" t="s">
        <v>2637</v>
      </c>
      <c r="E670" s="917">
        <v>6000</v>
      </c>
      <c r="F670" s="908">
        <v>43736431</v>
      </c>
      <c r="G670" s="910" t="s">
        <v>2638</v>
      </c>
      <c r="H670" s="910" t="s">
        <v>1565</v>
      </c>
      <c r="I670" s="911" t="s">
        <v>1406</v>
      </c>
      <c r="J670" s="911" t="s">
        <v>1420</v>
      </c>
      <c r="K670" s="879">
        <v>0</v>
      </c>
      <c r="L670" s="878" t="s">
        <v>2731</v>
      </c>
      <c r="M670" s="880">
        <v>0</v>
      </c>
      <c r="N670" s="879">
        <v>1</v>
      </c>
      <c r="O670" s="878">
        <v>4</v>
      </c>
      <c r="P670" s="880">
        <v>23000</v>
      </c>
    </row>
    <row r="671" spans="1:16" ht="24">
      <c r="A671" s="924" t="s">
        <v>2732</v>
      </c>
      <c r="B671" s="908" t="s">
        <v>1402</v>
      </c>
      <c r="C671" s="908" t="s">
        <v>96</v>
      </c>
      <c r="D671" s="910" t="s">
        <v>1855</v>
      </c>
      <c r="E671" s="917">
        <v>8000</v>
      </c>
      <c r="F671" s="908">
        <v>26698751</v>
      </c>
      <c r="G671" s="910" t="s">
        <v>2639</v>
      </c>
      <c r="H671" s="910" t="s">
        <v>2640</v>
      </c>
      <c r="I671" s="911" t="s">
        <v>1406</v>
      </c>
      <c r="J671" s="911" t="s">
        <v>1411</v>
      </c>
      <c r="K671" s="879">
        <v>1</v>
      </c>
      <c r="L671" s="878">
        <v>6</v>
      </c>
      <c r="M671" s="880">
        <v>46133.33</v>
      </c>
      <c r="N671" s="879">
        <v>1</v>
      </c>
      <c r="O671" s="878">
        <v>3</v>
      </c>
      <c r="P671" s="880">
        <v>17600</v>
      </c>
    </row>
    <row r="672" spans="1:16" ht="15.95" customHeight="1">
      <c r="A672" s="924" t="s">
        <v>2732</v>
      </c>
      <c r="B672" s="908" t="s">
        <v>1402</v>
      </c>
      <c r="C672" s="908" t="s">
        <v>96</v>
      </c>
      <c r="D672" s="910" t="s">
        <v>2612</v>
      </c>
      <c r="E672" s="917">
        <v>13000</v>
      </c>
      <c r="F672" s="908">
        <v>21498397</v>
      </c>
      <c r="G672" s="910" t="s">
        <v>2641</v>
      </c>
      <c r="H672" s="910" t="s">
        <v>1410</v>
      </c>
      <c r="I672" s="911" t="s">
        <v>1420</v>
      </c>
      <c r="J672" s="911" t="s">
        <v>1411</v>
      </c>
      <c r="K672" s="879">
        <v>1</v>
      </c>
      <c r="L672" s="878">
        <v>7</v>
      </c>
      <c r="M672" s="880">
        <v>84800</v>
      </c>
      <c r="N672" s="879">
        <v>0</v>
      </c>
      <c r="O672" s="878" t="s">
        <v>2731</v>
      </c>
      <c r="P672" s="880">
        <v>0</v>
      </c>
    </row>
    <row r="673" spans="1:16" ht="24">
      <c r="A673" s="924" t="s">
        <v>2732</v>
      </c>
      <c r="B673" s="908" t="s">
        <v>1402</v>
      </c>
      <c r="C673" s="908" t="s">
        <v>96</v>
      </c>
      <c r="D673" s="910" t="s">
        <v>1545</v>
      </c>
      <c r="E673" s="917">
        <v>8000</v>
      </c>
      <c r="F673" s="908">
        <v>22507184</v>
      </c>
      <c r="G673" s="910" t="s">
        <v>2642</v>
      </c>
      <c r="H673" s="910" t="s">
        <v>1410</v>
      </c>
      <c r="I673" s="911" t="s">
        <v>1406</v>
      </c>
      <c r="J673" s="911" t="s">
        <v>1411</v>
      </c>
      <c r="K673" s="879">
        <v>1</v>
      </c>
      <c r="L673" s="878">
        <v>12</v>
      </c>
      <c r="M673" s="880">
        <v>96300</v>
      </c>
      <c r="N673" s="879">
        <v>1</v>
      </c>
      <c r="O673" s="878">
        <v>6</v>
      </c>
      <c r="P673" s="880">
        <v>47700</v>
      </c>
    </row>
    <row r="674" spans="1:16" ht="15.95" customHeight="1">
      <c r="A674" s="924" t="s">
        <v>2732</v>
      </c>
      <c r="B674" s="908" t="s">
        <v>1402</v>
      </c>
      <c r="C674" s="908" t="s">
        <v>96</v>
      </c>
      <c r="D674" s="910" t="s">
        <v>1533</v>
      </c>
      <c r="E674" s="917">
        <v>8000</v>
      </c>
      <c r="F674" s="908">
        <v>44565614</v>
      </c>
      <c r="G674" s="910" t="s">
        <v>2643</v>
      </c>
      <c r="H674" s="910" t="s">
        <v>1410</v>
      </c>
      <c r="I674" s="911" t="s">
        <v>1406</v>
      </c>
      <c r="J674" s="911" t="s">
        <v>1411</v>
      </c>
      <c r="K674" s="879">
        <v>1</v>
      </c>
      <c r="L674" s="878">
        <v>12</v>
      </c>
      <c r="M674" s="880">
        <v>94662</v>
      </c>
      <c r="N674" s="879">
        <v>1</v>
      </c>
      <c r="O674" s="878">
        <v>6</v>
      </c>
      <c r="P674" s="880">
        <v>48000</v>
      </c>
    </row>
    <row r="675" spans="1:16" ht="15.95" customHeight="1">
      <c r="A675" s="924" t="s">
        <v>2732</v>
      </c>
      <c r="B675" s="908" t="s">
        <v>1402</v>
      </c>
      <c r="C675" s="908" t="s">
        <v>96</v>
      </c>
      <c r="D675" s="910" t="s">
        <v>1685</v>
      </c>
      <c r="E675" s="917">
        <v>14500</v>
      </c>
      <c r="F675" s="908">
        <v>10135640</v>
      </c>
      <c r="G675" s="910" t="s">
        <v>2644</v>
      </c>
      <c r="H675" s="910" t="s">
        <v>1410</v>
      </c>
      <c r="I675" s="911" t="s">
        <v>1406</v>
      </c>
      <c r="J675" s="911" t="s">
        <v>1411</v>
      </c>
      <c r="K675" s="879">
        <v>1</v>
      </c>
      <c r="L675" s="878">
        <v>12</v>
      </c>
      <c r="M675" s="880">
        <v>157116.66999999998</v>
      </c>
      <c r="N675" s="879">
        <v>1</v>
      </c>
      <c r="O675" s="878">
        <v>6</v>
      </c>
      <c r="P675" s="880">
        <v>87000</v>
      </c>
    </row>
    <row r="676" spans="1:16" ht="15.95" customHeight="1">
      <c r="A676" s="924" t="s">
        <v>2732</v>
      </c>
      <c r="B676" s="908" t="s">
        <v>1402</v>
      </c>
      <c r="C676" s="908" t="s">
        <v>96</v>
      </c>
      <c r="D676" s="910" t="s">
        <v>1408</v>
      </c>
      <c r="E676" s="917">
        <v>7000</v>
      </c>
      <c r="F676" s="908">
        <v>46934610</v>
      </c>
      <c r="G676" s="910" t="s">
        <v>2645</v>
      </c>
      <c r="H676" s="910" t="s">
        <v>1410</v>
      </c>
      <c r="I676" s="911" t="s">
        <v>1406</v>
      </c>
      <c r="J676" s="911" t="s">
        <v>1420</v>
      </c>
      <c r="K676" s="879">
        <v>0</v>
      </c>
      <c r="L676" s="878" t="s">
        <v>2731</v>
      </c>
      <c r="M676" s="880">
        <v>0</v>
      </c>
      <c r="N676" s="879">
        <v>1</v>
      </c>
      <c r="O676" s="878">
        <v>6</v>
      </c>
      <c r="P676" s="880">
        <v>44800</v>
      </c>
    </row>
    <row r="677" spans="1:16" ht="24">
      <c r="A677" s="924" t="s">
        <v>2732</v>
      </c>
      <c r="B677" s="908" t="s">
        <v>1402</v>
      </c>
      <c r="C677" s="908" t="s">
        <v>96</v>
      </c>
      <c r="D677" s="910" t="s">
        <v>2646</v>
      </c>
      <c r="E677" s="917">
        <v>5000</v>
      </c>
      <c r="F677" s="908">
        <v>9671298</v>
      </c>
      <c r="G677" s="910" t="s">
        <v>2647</v>
      </c>
      <c r="H677" s="910" t="s">
        <v>1565</v>
      </c>
      <c r="I677" s="911" t="s">
        <v>1406</v>
      </c>
      <c r="J677" s="911" t="s">
        <v>1411</v>
      </c>
      <c r="K677" s="879">
        <v>1</v>
      </c>
      <c r="L677" s="878">
        <v>12</v>
      </c>
      <c r="M677" s="880">
        <v>60133.33</v>
      </c>
      <c r="N677" s="879">
        <v>1</v>
      </c>
      <c r="O677" s="878">
        <v>6</v>
      </c>
      <c r="P677" s="880">
        <v>30000</v>
      </c>
    </row>
    <row r="678" spans="1:16" ht="24">
      <c r="A678" s="924" t="s">
        <v>2732</v>
      </c>
      <c r="B678" s="908" t="s">
        <v>1402</v>
      </c>
      <c r="C678" s="908" t="s">
        <v>96</v>
      </c>
      <c r="D678" s="910" t="s">
        <v>2648</v>
      </c>
      <c r="E678" s="917">
        <v>9970</v>
      </c>
      <c r="F678" s="908">
        <v>9179898</v>
      </c>
      <c r="G678" s="910" t="s">
        <v>2649</v>
      </c>
      <c r="H678" s="910" t="s">
        <v>1410</v>
      </c>
      <c r="I678" s="911" t="s">
        <v>1406</v>
      </c>
      <c r="J678" s="911" t="s">
        <v>1411</v>
      </c>
      <c r="K678" s="879">
        <v>1</v>
      </c>
      <c r="L678" s="878">
        <v>12</v>
      </c>
      <c r="M678" s="880">
        <v>119940</v>
      </c>
      <c r="N678" s="879">
        <v>1</v>
      </c>
      <c r="O678" s="878">
        <v>6</v>
      </c>
      <c r="P678" s="880">
        <v>59820</v>
      </c>
    </row>
    <row r="679" spans="1:16" ht="24">
      <c r="A679" s="924" t="s">
        <v>2732</v>
      </c>
      <c r="B679" s="908" t="s">
        <v>1402</v>
      </c>
      <c r="C679" s="908" t="s">
        <v>96</v>
      </c>
      <c r="D679" s="910" t="s">
        <v>2650</v>
      </c>
      <c r="E679" s="917">
        <v>8000</v>
      </c>
      <c r="F679" s="908">
        <v>10765912</v>
      </c>
      <c r="G679" s="910" t="s">
        <v>2651</v>
      </c>
      <c r="H679" s="910" t="s">
        <v>1483</v>
      </c>
      <c r="I679" s="911" t="s">
        <v>1420</v>
      </c>
      <c r="J679" s="911" t="s">
        <v>1411</v>
      </c>
      <c r="K679" s="879">
        <v>1</v>
      </c>
      <c r="L679" s="878">
        <v>12</v>
      </c>
      <c r="M679" s="880">
        <v>96300</v>
      </c>
      <c r="N679" s="879">
        <v>1</v>
      </c>
      <c r="O679" s="878">
        <v>6</v>
      </c>
      <c r="P679" s="880">
        <v>48000</v>
      </c>
    </row>
    <row r="680" spans="1:16" ht="15.95" customHeight="1">
      <c r="A680" s="924" t="s">
        <v>2732</v>
      </c>
      <c r="B680" s="908" t="s">
        <v>1402</v>
      </c>
      <c r="C680" s="908" t="s">
        <v>96</v>
      </c>
      <c r="D680" s="910" t="s">
        <v>2652</v>
      </c>
      <c r="E680" s="917">
        <v>7500</v>
      </c>
      <c r="F680" s="908">
        <v>7264212</v>
      </c>
      <c r="G680" s="910" t="s">
        <v>2653</v>
      </c>
      <c r="H680" s="910" t="s">
        <v>1787</v>
      </c>
      <c r="I680" s="911" t="s">
        <v>1406</v>
      </c>
      <c r="J680" s="911" t="s">
        <v>1411</v>
      </c>
      <c r="K680" s="879">
        <v>1</v>
      </c>
      <c r="L680" s="878">
        <v>4</v>
      </c>
      <c r="M680" s="880">
        <v>29000</v>
      </c>
      <c r="N680" s="879">
        <v>1</v>
      </c>
      <c r="O680" s="878">
        <v>6</v>
      </c>
      <c r="P680" s="880">
        <v>45000</v>
      </c>
    </row>
    <row r="681" spans="1:16" ht="24">
      <c r="A681" s="924" t="s">
        <v>2732</v>
      </c>
      <c r="B681" s="908" t="s">
        <v>1402</v>
      </c>
      <c r="C681" s="908" t="s">
        <v>96</v>
      </c>
      <c r="D681" s="910" t="s">
        <v>2654</v>
      </c>
      <c r="E681" s="917">
        <v>5000</v>
      </c>
      <c r="F681" s="908">
        <v>40655371</v>
      </c>
      <c r="G681" s="910" t="s">
        <v>2655</v>
      </c>
      <c r="H681" s="910" t="s">
        <v>1474</v>
      </c>
      <c r="I681" s="911" t="s">
        <v>1406</v>
      </c>
      <c r="J681" s="911" t="s">
        <v>1411</v>
      </c>
      <c r="K681" s="879">
        <v>1</v>
      </c>
      <c r="L681" s="878">
        <v>12</v>
      </c>
      <c r="M681" s="880">
        <v>60300</v>
      </c>
      <c r="N681" s="879">
        <v>1</v>
      </c>
      <c r="O681" s="878">
        <v>6</v>
      </c>
      <c r="P681" s="880">
        <v>30000</v>
      </c>
    </row>
    <row r="682" spans="1:16" ht="24">
      <c r="A682" s="924" t="s">
        <v>2732</v>
      </c>
      <c r="B682" s="908" t="s">
        <v>1402</v>
      </c>
      <c r="C682" s="908" t="s">
        <v>96</v>
      </c>
      <c r="D682" s="910" t="s">
        <v>2546</v>
      </c>
      <c r="E682" s="917">
        <v>3500</v>
      </c>
      <c r="F682" s="908">
        <v>44705204</v>
      </c>
      <c r="G682" s="910" t="s">
        <v>2656</v>
      </c>
      <c r="H682" s="910" t="s">
        <v>1491</v>
      </c>
      <c r="I682" s="911" t="s">
        <v>1406</v>
      </c>
      <c r="J682" s="911" t="s">
        <v>1411</v>
      </c>
      <c r="K682" s="879">
        <v>1</v>
      </c>
      <c r="L682" s="878">
        <v>8</v>
      </c>
      <c r="M682" s="880">
        <v>28300</v>
      </c>
      <c r="N682" s="879">
        <v>0</v>
      </c>
      <c r="O682" s="878" t="s">
        <v>2731</v>
      </c>
      <c r="P682" s="880">
        <v>0</v>
      </c>
    </row>
    <row r="683" spans="1:16" ht="15.95" customHeight="1">
      <c r="A683" s="924" t="s">
        <v>2732</v>
      </c>
      <c r="B683" s="908" t="s">
        <v>1402</v>
      </c>
      <c r="C683" s="908" t="s">
        <v>96</v>
      </c>
      <c r="D683" s="910" t="s">
        <v>1456</v>
      </c>
      <c r="E683" s="917">
        <v>8500</v>
      </c>
      <c r="F683" s="908">
        <v>41688552</v>
      </c>
      <c r="G683" s="910" t="s">
        <v>2657</v>
      </c>
      <c r="H683" s="910" t="s">
        <v>1504</v>
      </c>
      <c r="I683" s="911" t="s">
        <v>1420</v>
      </c>
      <c r="J683" s="911" t="s">
        <v>1411</v>
      </c>
      <c r="K683" s="879">
        <v>1</v>
      </c>
      <c r="L683" s="878">
        <v>4</v>
      </c>
      <c r="M683" s="880">
        <v>32712.92</v>
      </c>
      <c r="N683" s="879">
        <v>1</v>
      </c>
      <c r="O683" s="878">
        <v>6</v>
      </c>
      <c r="P683" s="880">
        <v>51000</v>
      </c>
    </row>
    <row r="684" spans="1:16" ht="24">
      <c r="A684" s="924" t="s">
        <v>2732</v>
      </c>
      <c r="B684" s="908" t="s">
        <v>1402</v>
      </c>
      <c r="C684" s="908" t="s">
        <v>96</v>
      </c>
      <c r="D684" s="910" t="s">
        <v>2658</v>
      </c>
      <c r="E684" s="917">
        <v>8000</v>
      </c>
      <c r="F684" s="908">
        <v>10006253</v>
      </c>
      <c r="G684" s="910" t="s">
        <v>2659</v>
      </c>
      <c r="H684" s="910" t="s">
        <v>1458</v>
      </c>
      <c r="I684" s="911" t="s">
        <v>1406</v>
      </c>
      <c r="J684" s="911" t="s">
        <v>1411</v>
      </c>
      <c r="K684" s="879">
        <v>1</v>
      </c>
      <c r="L684" s="878">
        <v>12</v>
      </c>
      <c r="M684" s="880">
        <v>96300</v>
      </c>
      <c r="N684" s="879">
        <v>1</v>
      </c>
      <c r="O684" s="878">
        <v>3</v>
      </c>
      <c r="P684" s="880">
        <v>24000</v>
      </c>
    </row>
    <row r="685" spans="1:16" ht="15.95" customHeight="1">
      <c r="A685" s="924" t="s">
        <v>2732</v>
      </c>
      <c r="B685" s="908" t="s">
        <v>1402</v>
      </c>
      <c r="C685" s="908" t="s">
        <v>96</v>
      </c>
      <c r="D685" s="910" t="s">
        <v>1428</v>
      </c>
      <c r="E685" s="917">
        <v>6000</v>
      </c>
      <c r="F685" s="908">
        <v>47089477</v>
      </c>
      <c r="G685" s="910" t="s">
        <v>2660</v>
      </c>
      <c r="H685" s="910" t="s">
        <v>1423</v>
      </c>
      <c r="I685" s="911" t="s">
        <v>1420</v>
      </c>
      <c r="J685" s="911" t="s">
        <v>1411</v>
      </c>
      <c r="K685" s="879">
        <v>1</v>
      </c>
      <c r="L685" s="878">
        <v>2</v>
      </c>
      <c r="M685" s="880">
        <v>14000</v>
      </c>
      <c r="N685" s="879">
        <v>1</v>
      </c>
      <c r="O685" s="878">
        <v>1</v>
      </c>
      <c r="P685" s="880">
        <v>6000</v>
      </c>
    </row>
    <row r="686" spans="1:16" ht="24">
      <c r="A686" s="924" t="s">
        <v>2732</v>
      </c>
      <c r="B686" s="908" t="s">
        <v>1402</v>
      </c>
      <c r="C686" s="908" t="s">
        <v>96</v>
      </c>
      <c r="D686" s="910" t="s">
        <v>2661</v>
      </c>
      <c r="E686" s="917">
        <v>5000</v>
      </c>
      <c r="F686" s="908">
        <v>10208612</v>
      </c>
      <c r="G686" s="910" t="s">
        <v>2662</v>
      </c>
      <c r="H686" s="910" t="s">
        <v>1423</v>
      </c>
      <c r="I686" s="911" t="s">
        <v>1420</v>
      </c>
      <c r="J686" s="911" t="s">
        <v>1411</v>
      </c>
      <c r="K686" s="879">
        <v>1</v>
      </c>
      <c r="L686" s="878">
        <v>12</v>
      </c>
      <c r="M686" s="880">
        <v>60300</v>
      </c>
      <c r="N686" s="879">
        <v>1</v>
      </c>
      <c r="O686" s="878">
        <v>6</v>
      </c>
      <c r="P686" s="880">
        <v>30000</v>
      </c>
    </row>
    <row r="687" spans="1:16" ht="24">
      <c r="A687" s="924" t="s">
        <v>2732</v>
      </c>
      <c r="B687" s="908" t="s">
        <v>1402</v>
      </c>
      <c r="C687" s="908" t="s">
        <v>96</v>
      </c>
      <c r="D687" s="910" t="s">
        <v>1561</v>
      </c>
      <c r="E687" s="917">
        <v>5500</v>
      </c>
      <c r="F687" s="908">
        <v>7946290</v>
      </c>
      <c r="G687" s="910" t="s">
        <v>2663</v>
      </c>
      <c r="H687" s="910" t="s">
        <v>1410</v>
      </c>
      <c r="I687" s="911" t="s">
        <v>1420</v>
      </c>
      <c r="J687" s="911" t="s">
        <v>1411</v>
      </c>
      <c r="K687" s="879">
        <v>1</v>
      </c>
      <c r="L687" s="878">
        <v>12</v>
      </c>
      <c r="M687" s="880">
        <v>64955.6</v>
      </c>
      <c r="N687" s="879">
        <v>1</v>
      </c>
      <c r="O687" s="878">
        <v>6</v>
      </c>
      <c r="P687" s="880">
        <v>32293.82</v>
      </c>
    </row>
    <row r="688" spans="1:16" ht="15.95" customHeight="1">
      <c r="A688" s="924" t="s">
        <v>2732</v>
      </c>
      <c r="B688" s="908" t="s">
        <v>1402</v>
      </c>
      <c r="C688" s="908" t="s">
        <v>96</v>
      </c>
      <c r="D688" s="910" t="s">
        <v>1754</v>
      </c>
      <c r="E688" s="917">
        <v>14000</v>
      </c>
      <c r="F688" s="908">
        <v>7762359</v>
      </c>
      <c r="G688" s="910" t="s">
        <v>2664</v>
      </c>
      <c r="H688" s="910" t="s">
        <v>1410</v>
      </c>
      <c r="I688" s="911" t="s">
        <v>1406</v>
      </c>
      <c r="J688" s="911" t="s">
        <v>1411</v>
      </c>
      <c r="K688" s="879">
        <v>1</v>
      </c>
      <c r="L688" s="878">
        <v>10</v>
      </c>
      <c r="M688" s="880">
        <v>140300</v>
      </c>
      <c r="N688" s="879">
        <v>0</v>
      </c>
      <c r="O688" s="878" t="s">
        <v>2731</v>
      </c>
      <c r="P688" s="880">
        <v>0</v>
      </c>
    </row>
    <row r="689" spans="1:16" ht="24">
      <c r="A689" s="924" t="s">
        <v>2732</v>
      </c>
      <c r="B689" s="908" t="s">
        <v>1402</v>
      </c>
      <c r="C689" s="908" t="s">
        <v>96</v>
      </c>
      <c r="D689" s="910" t="s">
        <v>2665</v>
      </c>
      <c r="E689" s="917">
        <v>8000</v>
      </c>
      <c r="F689" s="908">
        <v>21263488</v>
      </c>
      <c r="G689" s="910" t="s">
        <v>2666</v>
      </c>
      <c r="H689" s="910" t="s">
        <v>2667</v>
      </c>
      <c r="I689" s="911" t="s">
        <v>1406</v>
      </c>
      <c r="J689" s="911" t="s">
        <v>1411</v>
      </c>
      <c r="K689" s="879">
        <v>1</v>
      </c>
      <c r="L689" s="878">
        <v>12</v>
      </c>
      <c r="M689" s="880">
        <v>96300</v>
      </c>
      <c r="N689" s="879">
        <v>1</v>
      </c>
      <c r="O689" s="878">
        <v>6</v>
      </c>
      <c r="P689" s="880">
        <v>48000</v>
      </c>
    </row>
    <row r="690" spans="1:16" ht="24">
      <c r="A690" s="924" t="s">
        <v>2732</v>
      </c>
      <c r="B690" s="908" t="s">
        <v>1402</v>
      </c>
      <c r="C690" s="908" t="s">
        <v>96</v>
      </c>
      <c r="D690" s="910" t="s">
        <v>1539</v>
      </c>
      <c r="E690" s="917">
        <v>3500</v>
      </c>
      <c r="F690" s="908">
        <v>42504611</v>
      </c>
      <c r="G690" s="910" t="s">
        <v>2668</v>
      </c>
      <c r="H690" s="910" t="s">
        <v>1477</v>
      </c>
      <c r="I690" s="911" t="s">
        <v>1406</v>
      </c>
      <c r="J690" s="911" t="s">
        <v>1407</v>
      </c>
      <c r="K690" s="879">
        <v>1</v>
      </c>
      <c r="L690" s="878">
        <v>12</v>
      </c>
      <c r="M690" s="880">
        <v>42300</v>
      </c>
      <c r="N690" s="879">
        <v>1</v>
      </c>
      <c r="O690" s="878">
        <v>6</v>
      </c>
      <c r="P690" s="880">
        <v>20805.55</v>
      </c>
    </row>
    <row r="691" spans="1:16" ht="15.95" customHeight="1">
      <c r="A691" s="924" t="s">
        <v>2732</v>
      </c>
      <c r="B691" s="908" t="s">
        <v>1402</v>
      </c>
      <c r="C691" s="908" t="s">
        <v>96</v>
      </c>
      <c r="D691" s="910" t="s">
        <v>1693</v>
      </c>
      <c r="E691" s="917">
        <v>15600</v>
      </c>
      <c r="F691" s="908">
        <v>42430585</v>
      </c>
      <c r="G691" s="910" t="s">
        <v>2669</v>
      </c>
      <c r="H691" s="910" t="s">
        <v>1410</v>
      </c>
      <c r="I691" s="911" t="s">
        <v>1406</v>
      </c>
      <c r="J691" s="911" t="s">
        <v>1411</v>
      </c>
      <c r="K691" s="879">
        <v>1</v>
      </c>
      <c r="L691" s="878">
        <v>2</v>
      </c>
      <c r="M691" s="880">
        <v>29640</v>
      </c>
      <c r="N691" s="879">
        <v>1</v>
      </c>
      <c r="O691" s="878">
        <v>6</v>
      </c>
      <c r="P691" s="880">
        <v>92040</v>
      </c>
    </row>
    <row r="692" spans="1:16" ht="15.95" customHeight="1">
      <c r="A692" s="924" t="s">
        <v>2732</v>
      </c>
      <c r="B692" s="908" t="s">
        <v>1402</v>
      </c>
      <c r="C692" s="908" t="s">
        <v>96</v>
      </c>
      <c r="D692" s="910" t="s">
        <v>1754</v>
      </c>
      <c r="E692" s="917">
        <v>11000</v>
      </c>
      <c r="F692" s="908">
        <v>44636481</v>
      </c>
      <c r="G692" s="910" t="s">
        <v>2670</v>
      </c>
      <c r="H692" s="910" t="s">
        <v>1410</v>
      </c>
      <c r="I692" s="911" t="s">
        <v>1420</v>
      </c>
      <c r="J692" s="911" t="s">
        <v>1411</v>
      </c>
      <c r="K692" s="879">
        <v>1</v>
      </c>
      <c r="L692" s="878">
        <v>12</v>
      </c>
      <c r="M692" s="880">
        <v>131933.33000000002</v>
      </c>
      <c r="N692" s="879">
        <v>1</v>
      </c>
      <c r="O692" s="878">
        <v>6</v>
      </c>
      <c r="P692" s="880">
        <v>66000</v>
      </c>
    </row>
    <row r="693" spans="1:16" ht="15.95" customHeight="1">
      <c r="A693" s="924" t="s">
        <v>2732</v>
      </c>
      <c r="B693" s="908" t="s">
        <v>1402</v>
      </c>
      <c r="C693" s="908" t="s">
        <v>96</v>
      </c>
      <c r="D693" s="910" t="s">
        <v>1754</v>
      </c>
      <c r="E693" s="917">
        <v>10000</v>
      </c>
      <c r="F693" s="908">
        <v>42257698</v>
      </c>
      <c r="G693" s="910" t="s">
        <v>2671</v>
      </c>
      <c r="H693" s="910" t="s">
        <v>2672</v>
      </c>
      <c r="I693" s="911" t="s">
        <v>1406</v>
      </c>
      <c r="J693" s="911" t="s">
        <v>1411</v>
      </c>
      <c r="K693" s="879">
        <v>1</v>
      </c>
      <c r="L693" s="878">
        <v>2</v>
      </c>
      <c r="M693" s="880">
        <v>20533.22</v>
      </c>
      <c r="N693" s="879">
        <v>1</v>
      </c>
      <c r="O693" s="878">
        <v>6</v>
      </c>
      <c r="P693" s="880">
        <v>47733.33</v>
      </c>
    </row>
    <row r="694" spans="1:16" ht="24">
      <c r="A694" s="924" t="s">
        <v>2732</v>
      </c>
      <c r="B694" s="908" t="s">
        <v>1402</v>
      </c>
      <c r="C694" s="908" t="s">
        <v>96</v>
      </c>
      <c r="D694" s="910" t="s">
        <v>1918</v>
      </c>
      <c r="E694" s="917">
        <v>15600</v>
      </c>
      <c r="F694" s="908">
        <v>9429290</v>
      </c>
      <c r="G694" s="910" t="s">
        <v>2673</v>
      </c>
      <c r="H694" s="910" t="s">
        <v>1584</v>
      </c>
      <c r="I694" s="911" t="s">
        <v>1406</v>
      </c>
      <c r="J694" s="911" t="s">
        <v>1411</v>
      </c>
      <c r="K694" s="879">
        <v>1</v>
      </c>
      <c r="L694" s="878">
        <v>12</v>
      </c>
      <c r="M694" s="880">
        <v>187800</v>
      </c>
      <c r="N694" s="879">
        <v>1</v>
      </c>
      <c r="O694" s="878">
        <v>6</v>
      </c>
      <c r="P694" s="880">
        <v>92040</v>
      </c>
    </row>
    <row r="695" spans="1:16" ht="15.95" customHeight="1">
      <c r="A695" s="924" t="s">
        <v>2732</v>
      </c>
      <c r="B695" s="908" t="s">
        <v>1402</v>
      </c>
      <c r="C695" s="908" t="s">
        <v>96</v>
      </c>
      <c r="D695" s="910" t="s">
        <v>2674</v>
      </c>
      <c r="E695" s="917">
        <v>6000</v>
      </c>
      <c r="F695" s="908">
        <v>41047396</v>
      </c>
      <c r="G695" s="910" t="s">
        <v>2675</v>
      </c>
      <c r="H695" s="910" t="s">
        <v>1455</v>
      </c>
      <c r="I695" s="911" t="s">
        <v>1420</v>
      </c>
      <c r="J695" s="911" t="s">
        <v>1420</v>
      </c>
      <c r="K695" s="879">
        <v>1</v>
      </c>
      <c r="L695" s="878">
        <v>2</v>
      </c>
      <c r="M695" s="880">
        <v>14000</v>
      </c>
      <c r="N695" s="879">
        <v>1</v>
      </c>
      <c r="O695" s="878">
        <v>6</v>
      </c>
      <c r="P695" s="880">
        <v>36000</v>
      </c>
    </row>
    <row r="696" spans="1:16" ht="24">
      <c r="A696" s="924" t="s">
        <v>2732</v>
      </c>
      <c r="B696" s="908" t="s">
        <v>1402</v>
      </c>
      <c r="C696" s="908" t="s">
        <v>96</v>
      </c>
      <c r="D696" s="910" t="s">
        <v>2144</v>
      </c>
      <c r="E696" s="917">
        <v>6000</v>
      </c>
      <c r="F696" s="908">
        <v>70885330</v>
      </c>
      <c r="G696" s="910" t="s">
        <v>2676</v>
      </c>
      <c r="H696" s="910" t="s">
        <v>2493</v>
      </c>
      <c r="I696" s="911" t="s">
        <v>1406</v>
      </c>
      <c r="J696" s="911" t="s">
        <v>1411</v>
      </c>
      <c r="K696" s="879">
        <v>1</v>
      </c>
      <c r="L696" s="878">
        <v>12</v>
      </c>
      <c r="M696" s="880">
        <v>42987.6</v>
      </c>
      <c r="N696" s="879">
        <v>1</v>
      </c>
      <c r="O696" s="878">
        <v>6</v>
      </c>
      <c r="P696" s="880">
        <v>36000</v>
      </c>
    </row>
    <row r="697" spans="1:16" ht="15.95" customHeight="1">
      <c r="A697" s="924" t="s">
        <v>2732</v>
      </c>
      <c r="B697" s="908" t="s">
        <v>1402</v>
      </c>
      <c r="C697" s="908" t="s">
        <v>96</v>
      </c>
      <c r="D697" s="910" t="s">
        <v>1816</v>
      </c>
      <c r="E697" s="917">
        <v>9000</v>
      </c>
      <c r="F697" s="908">
        <v>42159729</v>
      </c>
      <c r="G697" s="910" t="s">
        <v>2677</v>
      </c>
      <c r="H697" s="910" t="s">
        <v>2062</v>
      </c>
      <c r="I697" s="911" t="s">
        <v>1406</v>
      </c>
      <c r="J697" s="911" t="s">
        <v>1411</v>
      </c>
      <c r="K697" s="879">
        <v>1</v>
      </c>
      <c r="L697" s="878">
        <v>6</v>
      </c>
      <c r="M697" s="880">
        <v>51019.67</v>
      </c>
      <c r="N697" s="879">
        <v>1</v>
      </c>
      <c r="O697" s="878">
        <v>6</v>
      </c>
      <c r="P697" s="880">
        <v>53419.360000000001</v>
      </c>
    </row>
    <row r="698" spans="1:16" ht="15.95" customHeight="1">
      <c r="A698" s="924" t="s">
        <v>2732</v>
      </c>
      <c r="B698" s="908" t="s">
        <v>1402</v>
      </c>
      <c r="C698" s="908" t="s">
        <v>96</v>
      </c>
      <c r="D698" s="910" t="s">
        <v>2678</v>
      </c>
      <c r="E698" s="917">
        <v>10500</v>
      </c>
      <c r="F698" s="908">
        <v>40103159</v>
      </c>
      <c r="G698" s="910" t="s">
        <v>2679</v>
      </c>
      <c r="H698" s="910" t="s">
        <v>1458</v>
      </c>
      <c r="I698" s="911" t="s">
        <v>1406</v>
      </c>
      <c r="J698" s="911" t="s">
        <v>1420</v>
      </c>
      <c r="K698" s="879">
        <v>1</v>
      </c>
      <c r="L698" s="878">
        <v>4</v>
      </c>
      <c r="M698" s="880">
        <v>40600</v>
      </c>
      <c r="N698" s="879">
        <v>1</v>
      </c>
      <c r="O698" s="878">
        <v>6</v>
      </c>
      <c r="P698" s="880">
        <v>63000</v>
      </c>
    </row>
    <row r="699" spans="1:16" ht="15.95" customHeight="1">
      <c r="A699" s="924" t="s">
        <v>2732</v>
      </c>
      <c r="B699" s="908" t="s">
        <v>1402</v>
      </c>
      <c r="C699" s="908" t="s">
        <v>96</v>
      </c>
      <c r="D699" s="910" t="s">
        <v>1430</v>
      </c>
      <c r="E699" s="917">
        <v>2000</v>
      </c>
      <c r="F699" s="908">
        <v>43537158</v>
      </c>
      <c r="G699" s="910" t="s">
        <v>2680</v>
      </c>
      <c r="H699" s="910" t="s">
        <v>1565</v>
      </c>
      <c r="I699" s="911" t="s">
        <v>1420</v>
      </c>
      <c r="J699" s="911" t="s">
        <v>1411</v>
      </c>
      <c r="K699" s="879">
        <v>1</v>
      </c>
      <c r="L699" s="878">
        <v>5</v>
      </c>
      <c r="M699" s="880">
        <v>10742.150000000001</v>
      </c>
      <c r="N699" s="879">
        <v>0</v>
      </c>
      <c r="O699" s="878" t="s">
        <v>2731</v>
      </c>
      <c r="P699" s="880">
        <v>0</v>
      </c>
    </row>
    <row r="700" spans="1:16" ht="15.95" customHeight="1">
      <c r="A700" s="924" t="s">
        <v>2732</v>
      </c>
      <c r="B700" s="908" t="s">
        <v>1402</v>
      </c>
      <c r="C700" s="908" t="s">
        <v>96</v>
      </c>
      <c r="D700" s="910" t="s">
        <v>2681</v>
      </c>
      <c r="E700" s="917">
        <v>10000</v>
      </c>
      <c r="F700" s="908">
        <v>25518130</v>
      </c>
      <c r="G700" s="910" t="s">
        <v>2682</v>
      </c>
      <c r="H700" s="910" t="s">
        <v>1410</v>
      </c>
      <c r="I700" s="911" t="s">
        <v>1406</v>
      </c>
      <c r="J700" s="911" t="s">
        <v>1411</v>
      </c>
      <c r="K700" s="879">
        <v>1</v>
      </c>
      <c r="L700" s="878">
        <v>12</v>
      </c>
      <c r="M700" s="880">
        <v>115243.45</v>
      </c>
      <c r="N700" s="879">
        <v>0</v>
      </c>
      <c r="O700" s="878" t="s">
        <v>2731</v>
      </c>
      <c r="P700" s="880">
        <v>0</v>
      </c>
    </row>
    <row r="701" spans="1:16" ht="15.95" customHeight="1">
      <c r="A701" s="924" t="s">
        <v>2732</v>
      </c>
      <c r="B701" s="908" t="s">
        <v>1402</v>
      </c>
      <c r="C701" s="908" t="s">
        <v>96</v>
      </c>
      <c r="D701" s="910" t="s">
        <v>2683</v>
      </c>
      <c r="E701" s="917">
        <v>12000</v>
      </c>
      <c r="F701" s="908">
        <v>40358028</v>
      </c>
      <c r="G701" s="910" t="s">
        <v>2684</v>
      </c>
      <c r="H701" s="910" t="s">
        <v>1410</v>
      </c>
      <c r="I701" s="911" t="s">
        <v>1406</v>
      </c>
      <c r="J701" s="911" t="s">
        <v>1420</v>
      </c>
      <c r="K701" s="879">
        <v>1</v>
      </c>
      <c r="L701" s="878">
        <v>4</v>
      </c>
      <c r="M701" s="880">
        <v>46400</v>
      </c>
      <c r="N701" s="879">
        <v>1</v>
      </c>
      <c r="O701" s="878">
        <v>6</v>
      </c>
      <c r="P701" s="880">
        <v>72000</v>
      </c>
    </row>
    <row r="702" spans="1:16" ht="15.95" customHeight="1">
      <c r="A702" s="924" t="s">
        <v>2732</v>
      </c>
      <c r="B702" s="908" t="s">
        <v>1402</v>
      </c>
      <c r="C702" s="908" t="s">
        <v>96</v>
      </c>
      <c r="D702" s="910" t="s">
        <v>2685</v>
      </c>
      <c r="E702" s="917">
        <v>3000</v>
      </c>
      <c r="F702" s="908">
        <v>41913602</v>
      </c>
      <c r="G702" s="910" t="s">
        <v>2686</v>
      </c>
      <c r="H702" s="910" t="s">
        <v>2232</v>
      </c>
      <c r="I702" s="911" t="s">
        <v>1480</v>
      </c>
      <c r="J702" s="911" t="s">
        <v>1407</v>
      </c>
      <c r="K702" s="879">
        <v>1</v>
      </c>
      <c r="L702" s="878">
        <v>8</v>
      </c>
      <c r="M702" s="880">
        <v>22583.16</v>
      </c>
      <c r="N702" s="879">
        <v>0</v>
      </c>
      <c r="O702" s="878" t="s">
        <v>2731</v>
      </c>
      <c r="P702" s="880">
        <v>0</v>
      </c>
    </row>
    <row r="703" spans="1:16" ht="15.95" customHeight="1">
      <c r="A703" s="924" t="s">
        <v>2732</v>
      </c>
      <c r="B703" s="908" t="s">
        <v>1402</v>
      </c>
      <c r="C703" s="908" t="s">
        <v>96</v>
      </c>
      <c r="D703" s="910" t="s">
        <v>2687</v>
      </c>
      <c r="E703" s="917">
        <v>12500</v>
      </c>
      <c r="F703" s="908">
        <v>10581660</v>
      </c>
      <c r="G703" s="910" t="s">
        <v>2688</v>
      </c>
      <c r="H703" s="910" t="s">
        <v>1448</v>
      </c>
      <c r="I703" s="911" t="s">
        <v>1406</v>
      </c>
      <c r="J703" s="911" t="s">
        <v>1411</v>
      </c>
      <c r="K703" s="879">
        <v>1</v>
      </c>
      <c r="L703" s="878">
        <v>4</v>
      </c>
      <c r="M703" s="880">
        <v>48333.33</v>
      </c>
      <c r="N703" s="879">
        <v>1</v>
      </c>
      <c r="O703" s="878">
        <v>6</v>
      </c>
      <c r="P703" s="880">
        <v>74364.399999999994</v>
      </c>
    </row>
    <row r="704" spans="1:16" ht="15.95" customHeight="1">
      <c r="A704" s="924" t="s">
        <v>2732</v>
      </c>
      <c r="B704" s="908" t="s">
        <v>1402</v>
      </c>
      <c r="C704" s="908" t="s">
        <v>96</v>
      </c>
      <c r="D704" s="910" t="s">
        <v>2350</v>
      </c>
      <c r="E704" s="917">
        <v>8120</v>
      </c>
      <c r="F704" s="908">
        <v>6801474</v>
      </c>
      <c r="G704" s="910" t="s">
        <v>2689</v>
      </c>
      <c r="H704" s="910" t="s">
        <v>1458</v>
      </c>
      <c r="I704" s="911" t="s">
        <v>1406</v>
      </c>
      <c r="J704" s="911" t="s">
        <v>1411</v>
      </c>
      <c r="K704" s="879">
        <v>1</v>
      </c>
      <c r="L704" s="878">
        <v>12</v>
      </c>
      <c r="M704" s="880">
        <v>97446</v>
      </c>
      <c r="N704" s="879">
        <v>1</v>
      </c>
      <c r="O704" s="878">
        <v>6</v>
      </c>
      <c r="P704" s="880">
        <v>44420</v>
      </c>
    </row>
    <row r="705" spans="1:16" ht="15.95" customHeight="1">
      <c r="A705" s="924" t="s">
        <v>2732</v>
      </c>
      <c r="B705" s="908" t="s">
        <v>1402</v>
      </c>
      <c r="C705" s="908" t="s">
        <v>96</v>
      </c>
      <c r="D705" s="910" t="s">
        <v>2690</v>
      </c>
      <c r="E705" s="917">
        <v>7000</v>
      </c>
      <c r="F705" s="908">
        <v>40283188</v>
      </c>
      <c r="G705" s="910" t="s">
        <v>2691</v>
      </c>
      <c r="H705" s="910" t="s">
        <v>1445</v>
      </c>
      <c r="I705" s="911" t="s">
        <v>1406</v>
      </c>
      <c r="J705" s="911" t="s">
        <v>1420</v>
      </c>
      <c r="K705" s="879">
        <v>1</v>
      </c>
      <c r="L705" s="878">
        <v>4</v>
      </c>
      <c r="M705" s="880">
        <v>27066.67</v>
      </c>
      <c r="N705" s="879">
        <v>1</v>
      </c>
      <c r="O705" s="878">
        <v>6</v>
      </c>
      <c r="P705" s="880">
        <v>42000</v>
      </c>
    </row>
    <row r="706" spans="1:16" ht="15.95" customHeight="1">
      <c r="A706" s="924" t="s">
        <v>2732</v>
      </c>
      <c r="B706" s="908" t="s">
        <v>1402</v>
      </c>
      <c r="C706" s="908" t="s">
        <v>96</v>
      </c>
      <c r="D706" s="910" t="s">
        <v>2088</v>
      </c>
      <c r="E706" s="917">
        <v>7000</v>
      </c>
      <c r="F706" s="908">
        <v>4078061</v>
      </c>
      <c r="G706" s="910" t="s">
        <v>2692</v>
      </c>
      <c r="H706" s="910" t="s">
        <v>2104</v>
      </c>
      <c r="I706" s="911" t="s">
        <v>1406</v>
      </c>
      <c r="J706" s="911" t="s">
        <v>1411</v>
      </c>
      <c r="K706" s="879">
        <v>1</v>
      </c>
      <c r="L706" s="878">
        <v>2</v>
      </c>
      <c r="M706" s="880">
        <v>16333.33</v>
      </c>
      <c r="N706" s="879">
        <v>1</v>
      </c>
      <c r="O706" s="878">
        <v>6</v>
      </c>
      <c r="P706" s="880">
        <v>42000</v>
      </c>
    </row>
    <row r="707" spans="1:16" ht="15.95" customHeight="1">
      <c r="A707" s="924" t="s">
        <v>2732</v>
      </c>
      <c r="B707" s="908" t="s">
        <v>1402</v>
      </c>
      <c r="C707" s="908" t="s">
        <v>96</v>
      </c>
      <c r="D707" s="910" t="s">
        <v>1905</v>
      </c>
      <c r="E707" s="917">
        <v>8000</v>
      </c>
      <c r="F707" s="908">
        <v>47098395</v>
      </c>
      <c r="G707" s="910" t="s">
        <v>2693</v>
      </c>
      <c r="H707" s="910" t="s">
        <v>1410</v>
      </c>
      <c r="I707" s="911" t="s">
        <v>1406</v>
      </c>
      <c r="J707" s="911" t="s">
        <v>1420</v>
      </c>
      <c r="K707" s="879">
        <v>1</v>
      </c>
      <c r="L707" s="878">
        <v>6</v>
      </c>
      <c r="M707" s="880">
        <v>45941.11</v>
      </c>
      <c r="N707" s="879">
        <v>1</v>
      </c>
      <c r="O707" s="878">
        <v>6</v>
      </c>
      <c r="P707" s="880">
        <v>48000</v>
      </c>
    </row>
    <row r="708" spans="1:16" ht="15.95" customHeight="1">
      <c r="A708" s="924" t="s">
        <v>2732</v>
      </c>
      <c r="B708" s="908" t="s">
        <v>1402</v>
      </c>
      <c r="C708" s="908" t="s">
        <v>96</v>
      </c>
      <c r="D708" s="910" t="s">
        <v>1972</v>
      </c>
      <c r="E708" s="917">
        <v>14500</v>
      </c>
      <c r="F708" s="908">
        <v>43478017</v>
      </c>
      <c r="G708" s="910" t="s">
        <v>2694</v>
      </c>
      <c r="H708" s="910" t="s">
        <v>1625</v>
      </c>
      <c r="I708" s="911" t="s">
        <v>1420</v>
      </c>
      <c r="J708" s="911" t="s">
        <v>1411</v>
      </c>
      <c r="K708" s="879">
        <v>1</v>
      </c>
      <c r="L708" s="878">
        <v>12</v>
      </c>
      <c r="M708" s="880">
        <v>150662.22</v>
      </c>
      <c r="N708" s="879">
        <v>1</v>
      </c>
      <c r="O708" s="878">
        <v>6</v>
      </c>
      <c r="P708" s="880">
        <v>87000</v>
      </c>
    </row>
    <row r="709" spans="1:16" ht="15.95" customHeight="1">
      <c r="A709" s="924" t="s">
        <v>2732</v>
      </c>
      <c r="B709" s="908" t="s">
        <v>1402</v>
      </c>
      <c r="C709" s="908" t="s">
        <v>96</v>
      </c>
      <c r="D709" s="910" t="s">
        <v>1657</v>
      </c>
      <c r="E709" s="917">
        <v>3500</v>
      </c>
      <c r="F709" s="908">
        <v>10033158</v>
      </c>
      <c r="G709" s="910" t="s">
        <v>2695</v>
      </c>
      <c r="H709" s="910" t="s">
        <v>1432</v>
      </c>
      <c r="I709" s="911" t="s">
        <v>1406</v>
      </c>
      <c r="J709" s="911" t="s">
        <v>1407</v>
      </c>
      <c r="K709" s="879">
        <v>1</v>
      </c>
      <c r="L709" s="878">
        <v>6</v>
      </c>
      <c r="M709" s="880">
        <v>20183.330000000002</v>
      </c>
      <c r="N709" s="879">
        <v>1</v>
      </c>
      <c r="O709" s="878">
        <v>6</v>
      </c>
      <c r="P709" s="880">
        <v>21000</v>
      </c>
    </row>
    <row r="710" spans="1:16" ht="15.95" customHeight="1">
      <c r="A710" s="924" t="s">
        <v>2732</v>
      </c>
      <c r="B710" s="908" t="s">
        <v>1402</v>
      </c>
      <c r="C710" s="908" t="s">
        <v>96</v>
      </c>
      <c r="D710" s="910" t="s">
        <v>1708</v>
      </c>
      <c r="E710" s="917">
        <v>10000</v>
      </c>
      <c r="F710" s="908">
        <v>42098057</v>
      </c>
      <c r="G710" s="910" t="s">
        <v>2696</v>
      </c>
      <c r="H710" s="910" t="s">
        <v>1410</v>
      </c>
      <c r="I710" s="911" t="s">
        <v>1406</v>
      </c>
      <c r="J710" s="911" t="s">
        <v>1411</v>
      </c>
      <c r="K710" s="879">
        <v>1</v>
      </c>
      <c r="L710" s="878">
        <v>6</v>
      </c>
      <c r="M710" s="880">
        <v>57666.67</v>
      </c>
      <c r="N710" s="879">
        <v>1</v>
      </c>
      <c r="O710" s="878">
        <v>6</v>
      </c>
      <c r="P710" s="880">
        <v>60000</v>
      </c>
    </row>
    <row r="711" spans="1:16" ht="36">
      <c r="A711" s="924" t="s">
        <v>2732</v>
      </c>
      <c r="B711" s="908" t="s">
        <v>1402</v>
      </c>
      <c r="C711" s="908" t="s">
        <v>96</v>
      </c>
      <c r="D711" s="910" t="s">
        <v>2697</v>
      </c>
      <c r="E711" s="917">
        <v>8000</v>
      </c>
      <c r="F711" s="908">
        <v>40548867</v>
      </c>
      <c r="G711" s="910" t="s">
        <v>2698</v>
      </c>
      <c r="H711" s="910" t="s">
        <v>1584</v>
      </c>
      <c r="I711" s="911" t="s">
        <v>1406</v>
      </c>
      <c r="J711" s="911" t="s">
        <v>1411</v>
      </c>
      <c r="K711" s="879">
        <v>1</v>
      </c>
      <c r="L711" s="878">
        <v>12</v>
      </c>
      <c r="M711" s="880">
        <v>76933.33</v>
      </c>
      <c r="N711" s="879">
        <v>1</v>
      </c>
      <c r="O711" s="878">
        <v>6</v>
      </c>
      <c r="P711" s="880">
        <v>47733.33</v>
      </c>
    </row>
    <row r="712" spans="1:16" ht="15.95" customHeight="1">
      <c r="A712" s="924" t="s">
        <v>2732</v>
      </c>
      <c r="B712" s="908" t="s">
        <v>1402</v>
      </c>
      <c r="C712" s="908" t="s">
        <v>96</v>
      </c>
      <c r="D712" s="910" t="s">
        <v>1698</v>
      </c>
      <c r="E712" s="917">
        <v>6000</v>
      </c>
      <c r="F712" s="908">
        <v>7495645</v>
      </c>
      <c r="G712" s="910" t="s">
        <v>2699</v>
      </c>
      <c r="H712" s="910" t="s">
        <v>1474</v>
      </c>
      <c r="I712" s="911" t="s">
        <v>1480</v>
      </c>
      <c r="J712" s="911" t="s">
        <v>1420</v>
      </c>
      <c r="K712" s="879">
        <v>1</v>
      </c>
      <c r="L712" s="878">
        <v>2</v>
      </c>
      <c r="M712" s="880">
        <v>9400</v>
      </c>
      <c r="N712" s="879">
        <v>1</v>
      </c>
      <c r="O712" s="878">
        <v>6</v>
      </c>
      <c r="P712" s="880">
        <v>39000</v>
      </c>
    </row>
    <row r="713" spans="1:16" ht="15.95" customHeight="1">
      <c r="A713" s="924" t="s">
        <v>2732</v>
      </c>
      <c r="B713" s="908" t="s">
        <v>1402</v>
      </c>
      <c r="C713" s="908" t="s">
        <v>96</v>
      </c>
      <c r="D713" s="910" t="s">
        <v>1408</v>
      </c>
      <c r="E713" s="917">
        <v>8000</v>
      </c>
      <c r="F713" s="908">
        <v>9879101</v>
      </c>
      <c r="G713" s="910" t="s">
        <v>2700</v>
      </c>
      <c r="H713" s="910" t="s">
        <v>1410</v>
      </c>
      <c r="I713" s="911" t="s">
        <v>1406</v>
      </c>
      <c r="J713" s="911" t="s">
        <v>1420</v>
      </c>
      <c r="K713" s="879">
        <v>1</v>
      </c>
      <c r="L713" s="878">
        <v>6</v>
      </c>
      <c r="M713" s="880">
        <v>46133.33</v>
      </c>
      <c r="N713" s="879">
        <v>1</v>
      </c>
      <c r="O713" s="878">
        <v>6</v>
      </c>
      <c r="P713" s="880">
        <v>47971.11</v>
      </c>
    </row>
    <row r="714" spans="1:16" ht="15.95" customHeight="1">
      <c r="A714" s="924" t="s">
        <v>2732</v>
      </c>
      <c r="B714" s="908" t="s">
        <v>1402</v>
      </c>
      <c r="C714" s="908" t="s">
        <v>96</v>
      </c>
      <c r="D714" s="910" t="s">
        <v>1693</v>
      </c>
      <c r="E714" s="917">
        <v>15600</v>
      </c>
      <c r="F714" s="908">
        <v>8839195</v>
      </c>
      <c r="G714" s="910" t="s">
        <v>2701</v>
      </c>
      <c r="H714" s="910" t="s">
        <v>1410</v>
      </c>
      <c r="I714" s="911" t="s">
        <v>1406</v>
      </c>
      <c r="J714" s="911" t="s">
        <v>1411</v>
      </c>
      <c r="K714" s="879">
        <v>1</v>
      </c>
      <c r="L714" s="878">
        <v>5</v>
      </c>
      <c r="M714" s="880">
        <v>78620</v>
      </c>
      <c r="N714" s="879">
        <v>0</v>
      </c>
      <c r="O714" s="878" t="s">
        <v>2731</v>
      </c>
      <c r="P714" s="880">
        <v>0</v>
      </c>
    </row>
    <row r="715" spans="1:16" ht="24">
      <c r="A715" s="924" t="s">
        <v>2732</v>
      </c>
      <c r="B715" s="908" t="s">
        <v>1402</v>
      </c>
      <c r="C715" s="908" t="s">
        <v>96</v>
      </c>
      <c r="D715" s="910" t="s">
        <v>1459</v>
      </c>
      <c r="E715" s="917">
        <v>7000</v>
      </c>
      <c r="F715" s="908">
        <v>43054265</v>
      </c>
      <c r="G715" s="910" t="s">
        <v>2702</v>
      </c>
      <c r="H715" s="910" t="s">
        <v>1474</v>
      </c>
      <c r="I715" s="911" t="s">
        <v>1406</v>
      </c>
      <c r="J715" s="911" t="s">
        <v>1420</v>
      </c>
      <c r="K715" s="879">
        <v>1</v>
      </c>
      <c r="L715" s="878">
        <v>6</v>
      </c>
      <c r="M715" s="880">
        <v>40133.339999999997</v>
      </c>
      <c r="N715" s="879">
        <v>1</v>
      </c>
      <c r="O715" s="878">
        <v>6</v>
      </c>
      <c r="P715" s="880">
        <v>42000</v>
      </c>
    </row>
    <row r="716" spans="1:16" ht="24">
      <c r="A716" s="924" t="s">
        <v>2732</v>
      </c>
      <c r="B716" s="908" t="s">
        <v>1402</v>
      </c>
      <c r="C716" s="908" t="s">
        <v>96</v>
      </c>
      <c r="D716" s="910" t="s">
        <v>1466</v>
      </c>
      <c r="E716" s="917">
        <v>8000</v>
      </c>
      <c r="F716" s="908">
        <v>19991035</v>
      </c>
      <c r="G716" s="910" t="s">
        <v>2703</v>
      </c>
      <c r="H716" s="910" t="s">
        <v>1471</v>
      </c>
      <c r="I716" s="911" t="s">
        <v>1406</v>
      </c>
      <c r="J716" s="911" t="s">
        <v>1411</v>
      </c>
      <c r="K716" s="879">
        <v>1</v>
      </c>
      <c r="L716" s="878">
        <v>3</v>
      </c>
      <c r="M716" s="880">
        <v>24000</v>
      </c>
      <c r="N716" s="879">
        <v>0</v>
      </c>
      <c r="O716" s="878" t="s">
        <v>2731</v>
      </c>
      <c r="P716" s="880">
        <v>0</v>
      </c>
    </row>
    <row r="717" spans="1:16" ht="15.95" customHeight="1">
      <c r="A717" s="924" t="s">
        <v>2732</v>
      </c>
      <c r="B717" s="908" t="s">
        <v>1402</v>
      </c>
      <c r="C717" s="908" t="s">
        <v>96</v>
      </c>
      <c r="D717" s="910" t="s">
        <v>1408</v>
      </c>
      <c r="E717" s="917">
        <v>8000</v>
      </c>
      <c r="F717" s="908">
        <v>31618403</v>
      </c>
      <c r="G717" s="910" t="s">
        <v>2704</v>
      </c>
      <c r="H717" s="910" t="s">
        <v>1423</v>
      </c>
      <c r="I717" s="911" t="s">
        <v>1406</v>
      </c>
      <c r="J717" s="911" t="s">
        <v>1411</v>
      </c>
      <c r="K717" s="879">
        <v>1</v>
      </c>
      <c r="L717" s="878">
        <v>12</v>
      </c>
      <c r="M717" s="880">
        <v>96300</v>
      </c>
      <c r="N717" s="879">
        <v>1</v>
      </c>
      <c r="O717" s="878">
        <v>6</v>
      </c>
      <c r="P717" s="880">
        <v>48000</v>
      </c>
    </row>
    <row r="718" spans="1:16" ht="15.95" customHeight="1">
      <c r="A718" s="924" t="s">
        <v>2732</v>
      </c>
      <c r="B718" s="908" t="s">
        <v>1402</v>
      </c>
      <c r="C718" s="908" t="s">
        <v>96</v>
      </c>
      <c r="D718" s="910" t="s">
        <v>1698</v>
      </c>
      <c r="E718" s="917">
        <v>7000</v>
      </c>
      <c r="F718" s="908">
        <v>46833346</v>
      </c>
      <c r="G718" s="910" t="s">
        <v>2705</v>
      </c>
      <c r="H718" s="910" t="s">
        <v>1410</v>
      </c>
      <c r="I718" s="911" t="s">
        <v>1406</v>
      </c>
      <c r="J718" s="911" t="s">
        <v>1420</v>
      </c>
      <c r="K718" s="879">
        <v>1</v>
      </c>
      <c r="L718" s="878">
        <v>2</v>
      </c>
      <c r="M718" s="880">
        <v>19133.260000000002</v>
      </c>
      <c r="N718" s="879">
        <v>1</v>
      </c>
      <c r="O718" s="878">
        <v>6</v>
      </c>
      <c r="P718" s="880">
        <v>42000</v>
      </c>
    </row>
    <row r="719" spans="1:16" ht="24">
      <c r="A719" s="924" t="s">
        <v>2732</v>
      </c>
      <c r="B719" s="908" t="s">
        <v>1402</v>
      </c>
      <c r="C719" s="908" t="s">
        <v>96</v>
      </c>
      <c r="D719" s="910" t="s">
        <v>2706</v>
      </c>
      <c r="E719" s="917">
        <v>7000</v>
      </c>
      <c r="F719" s="908">
        <v>10810024</v>
      </c>
      <c r="G719" s="910" t="s">
        <v>2707</v>
      </c>
      <c r="H719" s="910" t="s">
        <v>1471</v>
      </c>
      <c r="I719" s="911" t="s">
        <v>1406</v>
      </c>
      <c r="J719" s="911" t="s">
        <v>1411</v>
      </c>
      <c r="K719" s="879">
        <v>1</v>
      </c>
      <c r="L719" s="878">
        <v>12</v>
      </c>
      <c r="M719" s="880">
        <v>84300</v>
      </c>
      <c r="N719" s="879">
        <v>1</v>
      </c>
      <c r="O719" s="878">
        <v>6</v>
      </c>
      <c r="P719" s="880">
        <v>42000</v>
      </c>
    </row>
    <row r="720" spans="1:16" ht="15.95" customHeight="1">
      <c r="A720" s="924" t="s">
        <v>2732</v>
      </c>
      <c r="B720" s="908" t="s">
        <v>1402</v>
      </c>
      <c r="C720" s="908" t="s">
        <v>96</v>
      </c>
      <c r="D720" s="910" t="s">
        <v>2367</v>
      </c>
      <c r="E720" s="917">
        <v>6000</v>
      </c>
      <c r="F720" s="908">
        <v>8369727</v>
      </c>
      <c r="G720" s="910" t="s">
        <v>2708</v>
      </c>
      <c r="H720" s="910" t="s">
        <v>1414</v>
      </c>
      <c r="I720" s="911" t="s">
        <v>1406</v>
      </c>
      <c r="J720" s="911" t="s">
        <v>1411</v>
      </c>
      <c r="K720" s="879">
        <v>1</v>
      </c>
      <c r="L720" s="878">
        <v>12</v>
      </c>
      <c r="M720" s="880">
        <v>72300</v>
      </c>
      <c r="N720" s="879">
        <v>1</v>
      </c>
      <c r="O720" s="878">
        <v>6</v>
      </c>
      <c r="P720" s="880">
        <v>36000</v>
      </c>
    </row>
    <row r="721" spans="1:17" ht="15.95" customHeight="1">
      <c r="A721" s="924" t="s">
        <v>2732</v>
      </c>
      <c r="B721" s="908" t="s">
        <v>1402</v>
      </c>
      <c r="C721" s="908" t="s">
        <v>96</v>
      </c>
      <c r="D721" s="910" t="s">
        <v>1539</v>
      </c>
      <c r="E721" s="917">
        <v>2000</v>
      </c>
      <c r="F721" s="908">
        <v>72890496</v>
      </c>
      <c r="G721" s="910" t="s">
        <v>2709</v>
      </c>
      <c r="H721" s="910" t="s">
        <v>1410</v>
      </c>
      <c r="I721" s="911" t="s">
        <v>1424</v>
      </c>
      <c r="J721" s="911" t="s">
        <v>1411</v>
      </c>
      <c r="K721" s="879">
        <v>1</v>
      </c>
      <c r="L721" s="878">
        <v>12</v>
      </c>
      <c r="M721" s="880">
        <v>24300</v>
      </c>
      <c r="N721" s="879">
        <v>1</v>
      </c>
      <c r="O721" s="878">
        <v>6</v>
      </c>
      <c r="P721" s="880">
        <v>12000</v>
      </c>
    </row>
    <row r="722" spans="1:17" ht="15.95" customHeight="1">
      <c r="A722" s="924" t="s">
        <v>2732</v>
      </c>
      <c r="B722" s="908" t="s">
        <v>1402</v>
      </c>
      <c r="C722" s="908" t="s">
        <v>96</v>
      </c>
      <c r="D722" s="910" t="s">
        <v>2710</v>
      </c>
      <c r="E722" s="917">
        <v>8000</v>
      </c>
      <c r="F722" s="908">
        <v>44419002</v>
      </c>
      <c r="G722" s="910" t="s">
        <v>2711</v>
      </c>
      <c r="H722" s="910" t="s">
        <v>1410</v>
      </c>
      <c r="I722" s="911" t="s">
        <v>1406</v>
      </c>
      <c r="J722" s="911" t="s">
        <v>1411</v>
      </c>
      <c r="K722" s="879">
        <v>1</v>
      </c>
      <c r="L722" s="878">
        <v>12</v>
      </c>
      <c r="M722" s="880">
        <v>96300</v>
      </c>
      <c r="N722" s="879">
        <v>1</v>
      </c>
      <c r="O722" s="878">
        <v>6</v>
      </c>
      <c r="P722" s="880">
        <v>48000</v>
      </c>
    </row>
    <row r="723" spans="1:17" ht="24">
      <c r="A723" s="924" t="s">
        <v>2732</v>
      </c>
      <c r="B723" s="908" t="s">
        <v>1402</v>
      </c>
      <c r="C723" s="908" t="s">
        <v>96</v>
      </c>
      <c r="D723" s="910" t="s">
        <v>1855</v>
      </c>
      <c r="E723" s="917">
        <v>8000</v>
      </c>
      <c r="F723" s="908">
        <v>46633801</v>
      </c>
      <c r="G723" s="910" t="s">
        <v>2712</v>
      </c>
      <c r="H723" s="910" t="s">
        <v>1471</v>
      </c>
      <c r="I723" s="911" t="s">
        <v>1480</v>
      </c>
      <c r="J723" s="911" t="s">
        <v>1420</v>
      </c>
      <c r="K723" s="879">
        <v>1</v>
      </c>
      <c r="L723" s="878">
        <v>4</v>
      </c>
      <c r="M723" s="880">
        <v>30933.33</v>
      </c>
      <c r="N723" s="879">
        <v>1</v>
      </c>
      <c r="O723" s="878">
        <v>6</v>
      </c>
      <c r="P723" s="880">
        <v>48000</v>
      </c>
    </row>
    <row r="724" spans="1:17" ht="24">
      <c r="A724" s="924" t="s">
        <v>2732</v>
      </c>
      <c r="B724" s="908" t="s">
        <v>1402</v>
      </c>
      <c r="C724" s="908" t="s">
        <v>96</v>
      </c>
      <c r="D724" s="910" t="s">
        <v>2713</v>
      </c>
      <c r="E724" s="917">
        <v>10000</v>
      </c>
      <c r="F724" s="908">
        <v>17451746</v>
      </c>
      <c r="G724" s="910" t="s">
        <v>2714</v>
      </c>
      <c r="H724" s="910" t="s">
        <v>1448</v>
      </c>
      <c r="I724" s="911" t="s">
        <v>1406</v>
      </c>
      <c r="J724" s="911" t="s">
        <v>1411</v>
      </c>
      <c r="K724" s="879">
        <v>1</v>
      </c>
      <c r="L724" s="878">
        <v>12</v>
      </c>
      <c r="M724" s="880">
        <v>120300</v>
      </c>
      <c r="N724" s="879">
        <v>1</v>
      </c>
      <c r="O724" s="878">
        <v>6</v>
      </c>
      <c r="P724" s="880">
        <v>60000</v>
      </c>
    </row>
    <row r="725" spans="1:17" ht="24">
      <c r="A725" s="924" t="s">
        <v>2732</v>
      </c>
      <c r="B725" s="908" t="s">
        <v>1402</v>
      </c>
      <c r="C725" s="908" t="s">
        <v>96</v>
      </c>
      <c r="D725" s="910" t="s">
        <v>2715</v>
      </c>
      <c r="E725" s="917">
        <v>7000</v>
      </c>
      <c r="F725" s="908">
        <v>74174485</v>
      </c>
      <c r="G725" s="910" t="s">
        <v>2716</v>
      </c>
      <c r="H725" s="910" t="s">
        <v>1417</v>
      </c>
      <c r="I725" s="911" t="s">
        <v>1420</v>
      </c>
      <c r="J725" s="911" t="s">
        <v>1420</v>
      </c>
      <c r="K725" s="879">
        <v>1</v>
      </c>
      <c r="L725" s="878">
        <v>6</v>
      </c>
      <c r="M725" s="880">
        <v>40366.67</v>
      </c>
      <c r="N725" s="879">
        <v>1</v>
      </c>
      <c r="O725" s="878">
        <v>6</v>
      </c>
      <c r="P725" s="880">
        <v>42000</v>
      </c>
    </row>
    <row r="726" spans="1:17" ht="15.95" customHeight="1">
      <c r="A726" s="924" t="s">
        <v>2732</v>
      </c>
      <c r="B726" s="908" t="s">
        <v>1402</v>
      </c>
      <c r="C726" s="908" t="s">
        <v>96</v>
      </c>
      <c r="D726" s="910" t="s">
        <v>2227</v>
      </c>
      <c r="E726" s="917">
        <v>6000</v>
      </c>
      <c r="F726" s="908">
        <v>43097573</v>
      </c>
      <c r="G726" s="910" t="s">
        <v>2717</v>
      </c>
      <c r="H726" s="910" t="s">
        <v>1455</v>
      </c>
      <c r="I726" s="911" t="s">
        <v>1420</v>
      </c>
      <c r="J726" s="911" t="s">
        <v>1420</v>
      </c>
      <c r="K726" s="879">
        <v>0</v>
      </c>
      <c r="L726" s="878" t="s">
        <v>2731</v>
      </c>
      <c r="M726" s="880">
        <v>0</v>
      </c>
      <c r="N726" s="879">
        <v>1</v>
      </c>
      <c r="O726" s="878">
        <v>5</v>
      </c>
      <c r="P726" s="880">
        <v>30000</v>
      </c>
    </row>
    <row r="727" spans="1:17" ht="24">
      <c r="A727" s="924" t="s">
        <v>2732</v>
      </c>
      <c r="B727" s="908" t="s">
        <v>1402</v>
      </c>
      <c r="C727" s="908" t="s">
        <v>96</v>
      </c>
      <c r="D727" s="910" t="s">
        <v>2718</v>
      </c>
      <c r="E727" s="917">
        <v>7000</v>
      </c>
      <c r="F727" s="908">
        <v>46307771</v>
      </c>
      <c r="G727" s="910" t="s">
        <v>2719</v>
      </c>
      <c r="H727" s="910" t="s">
        <v>1448</v>
      </c>
      <c r="I727" s="911" t="s">
        <v>1406</v>
      </c>
      <c r="J727" s="911" t="s">
        <v>1411</v>
      </c>
      <c r="K727" s="879">
        <v>1</v>
      </c>
      <c r="L727" s="878">
        <v>1</v>
      </c>
      <c r="M727" s="880">
        <v>6300</v>
      </c>
      <c r="N727" s="879">
        <v>0</v>
      </c>
      <c r="O727" s="878" t="s">
        <v>2731</v>
      </c>
      <c r="P727" s="880">
        <v>0</v>
      </c>
    </row>
    <row r="728" spans="1:17" ht="15.95" customHeight="1">
      <c r="A728" s="924" t="s">
        <v>2732</v>
      </c>
      <c r="B728" s="908" t="s">
        <v>1402</v>
      </c>
      <c r="C728" s="908" t="s">
        <v>96</v>
      </c>
      <c r="D728" s="910" t="s">
        <v>1539</v>
      </c>
      <c r="E728" s="917">
        <v>3000</v>
      </c>
      <c r="F728" s="908">
        <v>40565832</v>
      </c>
      <c r="G728" s="910" t="s">
        <v>2720</v>
      </c>
      <c r="H728" s="910" t="s">
        <v>1590</v>
      </c>
      <c r="I728" s="911" t="s">
        <v>1480</v>
      </c>
      <c r="J728" s="911" t="s">
        <v>1407</v>
      </c>
      <c r="K728" s="879">
        <v>1</v>
      </c>
      <c r="L728" s="878">
        <v>12</v>
      </c>
      <c r="M728" s="880">
        <v>36300</v>
      </c>
      <c r="N728" s="879">
        <v>1</v>
      </c>
      <c r="O728" s="878">
        <v>6</v>
      </c>
      <c r="P728" s="880">
        <v>18000</v>
      </c>
    </row>
    <row r="729" spans="1:17" ht="24">
      <c r="A729" s="924" t="s">
        <v>2732</v>
      </c>
      <c r="B729" s="908" t="s">
        <v>1402</v>
      </c>
      <c r="C729" s="908" t="s">
        <v>96</v>
      </c>
      <c r="D729" s="910" t="s">
        <v>2721</v>
      </c>
      <c r="E729" s="917">
        <v>10000</v>
      </c>
      <c r="F729" s="908">
        <v>43919404</v>
      </c>
      <c r="G729" s="910" t="s">
        <v>2722</v>
      </c>
      <c r="H729" s="910" t="s">
        <v>2216</v>
      </c>
      <c r="I729" s="911" t="s">
        <v>1406</v>
      </c>
      <c r="J729" s="911" t="s">
        <v>1411</v>
      </c>
      <c r="K729" s="879">
        <v>1</v>
      </c>
      <c r="L729" s="878">
        <v>5</v>
      </c>
      <c r="M729" s="880">
        <v>51999.96</v>
      </c>
      <c r="N729" s="879">
        <v>0</v>
      </c>
      <c r="O729" s="878" t="s">
        <v>2731</v>
      </c>
      <c r="P729" s="880">
        <v>0</v>
      </c>
    </row>
    <row r="730" spans="1:17" ht="24">
      <c r="A730" s="924" t="s">
        <v>2732</v>
      </c>
      <c r="B730" s="908" t="s">
        <v>1402</v>
      </c>
      <c r="C730" s="908" t="s">
        <v>96</v>
      </c>
      <c r="D730" s="910" t="s">
        <v>2723</v>
      </c>
      <c r="E730" s="917">
        <v>6000</v>
      </c>
      <c r="F730" s="908">
        <v>45596257</v>
      </c>
      <c r="G730" s="910" t="s">
        <v>2724</v>
      </c>
      <c r="H730" s="910" t="s">
        <v>1474</v>
      </c>
      <c r="I730" s="911" t="s">
        <v>1406</v>
      </c>
      <c r="J730" s="911" t="s">
        <v>1420</v>
      </c>
      <c r="K730" s="879">
        <v>1</v>
      </c>
      <c r="L730" s="878">
        <v>6</v>
      </c>
      <c r="M730" s="880">
        <v>34600</v>
      </c>
      <c r="N730" s="879">
        <v>1</v>
      </c>
      <c r="O730" s="878">
        <v>6</v>
      </c>
      <c r="P730" s="880">
        <v>36000</v>
      </c>
    </row>
    <row r="731" spans="1:17" ht="15.95" customHeight="1">
      <c r="A731" s="924" t="s">
        <v>2732</v>
      </c>
      <c r="B731" s="908" t="s">
        <v>1402</v>
      </c>
      <c r="C731" s="908" t="s">
        <v>96</v>
      </c>
      <c r="D731" s="910" t="s">
        <v>2725</v>
      </c>
      <c r="E731" s="917">
        <v>8000</v>
      </c>
      <c r="F731" s="908">
        <v>41164956</v>
      </c>
      <c r="G731" s="910" t="s">
        <v>2726</v>
      </c>
      <c r="H731" s="910" t="s">
        <v>1474</v>
      </c>
      <c r="I731" s="911" t="s">
        <v>1406</v>
      </c>
      <c r="J731" s="911" t="s">
        <v>1411</v>
      </c>
      <c r="K731" s="879">
        <v>1</v>
      </c>
      <c r="L731" s="878">
        <v>12</v>
      </c>
      <c r="M731" s="880">
        <v>95775.55</v>
      </c>
      <c r="N731" s="879">
        <v>1</v>
      </c>
      <c r="O731" s="878">
        <v>6</v>
      </c>
      <c r="P731" s="880">
        <v>47350.520000000004</v>
      </c>
    </row>
    <row r="732" spans="1:17" ht="15.95" customHeight="1">
      <c r="A732" s="924" t="s">
        <v>2732</v>
      </c>
      <c r="B732" s="908" t="s">
        <v>1402</v>
      </c>
      <c r="C732" s="908" t="s">
        <v>96</v>
      </c>
      <c r="D732" s="910" t="s">
        <v>2727</v>
      </c>
      <c r="E732" s="917">
        <v>9100</v>
      </c>
      <c r="F732" s="908">
        <v>40124048</v>
      </c>
      <c r="G732" s="910" t="s">
        <v>2728</v>
      </c>
      <c r="H732" s="910" t="s">
        <v>1410</v>
      </c>
      <c r="I732" s="911" t="s">
        <v>1406</v>
      </c>
      <c r="J732" s="911" t="s">
        <v>1411</v>
      </c>
      <c r="K732" s="879">
        <v>1</v>
      </c>
      <c r="L732" s="878">
        <v>8</v>
      </c>
      <c r="M732" s="880">
        <v>64918.880000000005</v>
      </c>
      <c r="N732" s="879">
        <v>0</v>
      </c>
      <c r="O732" s="878" t="s">
        <v>2731</v>
      </c>
      <c r="P732" s="880">
        <v>0</v>
      </c>
    </row>
    <row r="733" spans="1:17" ht="24">
      <c r="A733" s="924" t="s">
        <v>2732</v>
      </c>
      <c r="B733" s="908" t="s">
        <v>1402</v>
      </c>
      <c r="C733" s="908" t="s">
        <v>96</v>
      </c>
      <c r="D733" s="910" t="s">
        <v>2729</v>
      </c>
      <c r="E733" s="917">
        <v>7000</v>
      </c>
      <c r="F733" s="908">
        <v>16658373</v>
      </c>
      <c r="G733" s="910" t="s">
        <v>2730</v>
      </c>
      <c r="H733" s="910" t="s">
        <v>1417</v>
      </c>
      <c r="I733" s="911" t="s">
        <v>1406</v>
      </c>
      <c r="J733" s="911" t="s">
        <v>1411</v>
      </c>
      <c r="K733" s="879">
        <v>1</v>
      </c>
      <c r="L733" s="878">
        <v>10</v>
      </c>
      <c r="M733" s="880">
        <v>70300</v>
      </c>
      <c r="N733" s="879">
        <v>0</v>
      </c>
      <c r="O733" s="878" t="s">
        <v>2731</v>
      </c>
      <c r="P733" s="880">
        <v>0</v>
      </c>
    </row>
    <row r="734" spans="1:17">
      <c r="A734" s="924"/>
      <c r="B734" s="908"/>
      <c r="C734" s="908"/>
      <c r="D734" s="910"/>
      <c r="E734" s="917"/>
      <c r="F734" s="908"/>
      <c r="G734" s="910"/>
      <c r="H734" s="910"/>
      <c r="I734" s="911" t="s">
        <v>4245</v>
      </c>
      <c r="J734" s="911"/>
      <c r="K734" s="928"/>
      <c r="L734" s="927"/>
      <c r="M734" s="926">
        <v>2119001</v>
      </c>
      <c r="N734" s="928"/>
      <c r="O734" s="927"/>
      <c r="P734" s="926">
        <v>1139500</v>
      </c>
    </row>
    <row r="735" spans="1:17">
      <c r="H735" s="731"/>
      <c r="K735" s="920" t="s">
        <v>2733</v>
      </c>
      <c r="L735" s="921"/>
      <c r="M735" s="919">
        <f>SUM(M7:M734)</f>
        <v>45830357.019999973</v>
      </c>
      <c r="N735" s="920"/>
      <c r="O735" s="920"/>
      <c r="P735" s="919">
        <f>SUM(P7:P734)</f>
        <v>26105892.619999994</v>
      </c>
      <c r="Q735" s="918">
        <v>45830357</v>
      </c>
    </row>
    <row r="736" spans="1:17" ht="24">
      <c r="A736" s="902" t="s">
        <v>2855</v>
      </c>
      <c r="B736" s="902" t="s">
        <v>1402</v>
      </c>
      <c r="C736" s="902" t="s">
        <v>96</v>
      </c>
      <c r="D736" s="925" t="s">
        <v>2734</v>
      </c>
      <c r="E736" s="922">
        <v>4000</v>
      </c>
      <c r="F736" s="902">
        <v>10090394</v>
      </c>
      <c r="G736" s="901" t="s">
        <v>2735</v>
      </c>
      <c r="H736" s="925" t="s">
        <v>2736</v>
      </c>
      <c r="I736" s="901" t="s">
        <v>1407</v>
      </c>
      <c r="J736" s="901" t="s">
        <v>1407</v>
      </c>
      <c r="K736" s="923" t="s">
        <v>2737</v>
      </c>
      <c r="L736" s="923" t="s">
        <v>2738</v>
      </c>
      <c r="M736" s="922">
        <v>48000</v>
      </c>
      <c r="N736" s="902">
        <v>3</v>
      </c>
      <c r="O736" s="902" t="s">
        <v>2739</v>
      </c>
      <c r="P736" s="922">
        <v>24000</v>
      </c>
    </row>
    <row r="737" spans="1:16" ht="24">
      <c r="A737" s="902" t="s">
        <v>2855</v>
      </c>
      <c r="B737" s="902" t="s">
        <v>1402</v>
      </c>
      <c r="C737" s="902" t="s">
        <v>96</v>
      </c>
      <c r="D737" s="925" t="s">
        <v>2734</v>
      </c>
      <c r="E737" s="922">
        <v>4000</v>
      </c>
      <c r="F737" s="902">
        <v>10028855</v>
      </c>
      <c r="G737" s="901" t="s">
        <v>2740</v>
      </c>
      <c r="H737" s="925" t="s">
        <v>2741</v>
      </c>
      <c r="I737" s="901" t="s">
        <v>2742</v>
      </c>
      <c r="J737" s="901" t="s">
        <v>2743</v>
      </c>
      <c r="K737" s="923" t="s">
        <v>2737</v>
      </c>
      <c r="L737" s="923" t="s">
        <v>2738</v>
      </c>
      <c r="M737" s="922">
        <v>48000</v>
      </c>
      <c r="N737" s="902" t="s">
        <v>2744</v>
      </c>
      <c r="O737" s="902" t="s">
        <v>2739</v>
      </c>
      <c r="P737" s="922">
        <v>24000</v>
      </c>
    </row>
    <row r="738" spans="1:16" ht="15.95" customHeight="1">
      <c r="A738" s="902" t="s">
        <v>2855</v>
      </c>
      <c r="B738" s="902" t="s">
        <v>1402</v>
      </c>
      <c r="C738" s="902" t="s">
        <v>96</v>
      </c>
      <c r="D738" s="925" t="s">
        <v>2745</v>
      </c>
      <c r="E738" s="922">
        <v>5500</v>
      </c>
      <c r="F738" s="902">
        <v>41237058</v>
      </c>
      <c r="G738" s="901" t="s">
        <v>2746</v>
      </c>
      <c r="H738" s="925" t="s">
        <v>2745</v>
      </c>
      <c r="I738" s="901" t="s">
        <v>2742</v>
      </c>
      <c r="J738" s="901" t="s">
        <v>2743</v>
      </c>
      <c r="K738" s="923" t="s">
        <v>2737</v>
      </c>
      <c r="L738" s="923" t="s">
        <v>2738</v>
      </c>
      <c r="M738" s="922">
        <v>66000</v>
      </c>
      <c r="N738" s="902" t="s">
        <v>2744</v>
      </c>
      <c r="O738" s="902" t="s">
        <v>2739</v>
      </c>
      <c r="P738" s="922">
        <v>33000</v>
      </c>
    </row>
    <row r="739" spans="1:16" ht="15.95" customHeight="1">
      <c r="A739" s="902" t="s">
        <v>2855</v>
      </c>
      <c r="B739" s="902" t="s">
        <v>1402</v>
      </c>
      <c r="C739" s="902" t="s">
        <v>96</v>
      </c>
      <c r="D739" s="925" t="s">
        <v>2747</v>
      </c>
      <c r="E739" s="922">
        <v>8000</v>
      </c>
      <c r="F739" s="902" t="s">
        <v>2748</v>
      </c>
      <c r="G739" s="901" t="s">
        <v>2749</v>
      </c>
      <c r="H739" s="925" t="s">
        <v>2750</v>
      </c>
      <c r="I739" s="901" t="s">
        <v>2742</v>
      </c>
      <c r="J739" s="901" t="s">
        <v>2750</v>
      </c>
      <c r="K739" s="923" t="s">
        <v>2737</v>
      </c>
      <c r="L739" s="923" t="s">
        <v>2738</v>
      </c>
      <c r="M739" s="922">
        <v>96000</v>
      </c>
      <c r="N739" s="902" t="s">
        <v>2744</v>
      </c>
      <c r="O739" s="902" t="s">
        <v>2739</v>
      </c>
      <c r="P739" s="922">
        <v>32000</v>
      </c>
    </row>
    <row r="740" spans="1:16" ht="15.95" customHeight="1">
      <c r="A740" s="902" t="s">
        <v>2855</v>
      </c>
      <c r="B740" s="902" t="s">
        <v>1402</v>
      </c>
      <c r="C740" s="902" t="s">
        <v>96</v>
      </c>
      <c r="D740" s="925" t="s">
        <v>2751</v>
      </c>
      <c r="E740" s="922">
        <v>7000</v>
      </c>
      <c r="F740" s="902" t="s">
        <v>2752</v>
      </c>
      <c r="G740" s="901" t="s">
        <v>2753</v>
      </c>
      <c r="H740" s="925" t="s">
        <v>2754</v>
      </c>
      <c r="I740" s="901" t="s">
        <v>2742</v>
      </c>
      <c r="J740" s="901" t="s">
        <v>2743</v>
      </c>
      <c r="K740" s="923" t="s">
        <v>2737</v>
      </c>
      <c r="L740" s="923" t="s">
        <v>2738</v>
      </c>
      <c r="M740" s="922">
        <v>84000</v>
      </c>
      <c r="N740" s="902" t="s">
        <v>2744</v>
      </c>
      <c r="O740" s="902" t="s">
        <v>2739</v>
      </c>
      <c r="P740" s="922">
        <v>42000</v>
      </c>
    </row>
    <row r="741" spans="1:16" ht="15.95" customHeight="1">
      <c r="A741" s="902" t="s">
        <v>2855</v>
      </c>
      <c r="B741" s="902" t="s">
        <v>1402</v>
      </c>
      <c r="C741" s="902" t="s">
        <v>96</v>
      </c>
      <c r="D741" s="925" t="s">
        <v>2755</v>
      </c>
      <c r="E741" s="922">
        <v>7000</v>
      </c>
      <c r="F741" s="902" t="s">
        <v>2756</v>
      </c>
      <c r="G741" s="901" t="s">
        <v>2757</v>
      </c>
      <c r="H741" s="925" t="s">
        <v>2758</v>
      </c>
      <c r="I741" s="901" t="s">
        <v>2742</v>
      </c>
      <c r="J741" s="901" t="s">
        <v>2759</v>
      </c>
      <c r="K741" s="923" t="s">
        <v>2760</v>
      </c>
      <c r="L741" s="923" t="s">
        <v>2739</v>
      </c>
      <c r="M741" s="922">
        <v>42000</v>
      </c>
      <c r="N741" s="902" t="s">
        <v>2731</v>
      </c>
      <c r="O741" s="902" t="s">
        <v>2731</v>
      </c>
      <c r="P741" s="922">
        <v>0</v>
      </c>
    </row>
    <row r="742" spans="1:16" ht="15.95" customHeight="1">
      <c r="A742" s="902" t="s">
        <v>2855</v>
      </c>
      <c r="B742" s="902" t="s">
        <v>1402</v>
      </c>
      <c r="C742" s="902" t="s">
        <v>96</v>
      </c>
      <c r="D742" s="925" t="s">
        <v>2761</v>
      </c>
      <c r="E742" s="922">
        <v>7000</v>
      </c>
      <c r="F742" s="902" t="s">
        <v>2762</v>
      </c>
      <c r="G742" s="901" t="s">
        <v>2763</v>
      </c>
      <c r="H742" s="925" t="s">
        <v>2761</v>
      </c>
      <c r="I742" s="901" t="s">
        <v>2742</v>
      </c>
      <c r="J742" s="901" t="s">
        <v>2761</v>
      </c>
      <c r="K742" s="923" t="s">
        <v>2737</v>
      </c>
      <c r="L742" s="923" t="s">
        <v>2738</v>
      </c>
      <c r="M742" s="922">
        <v>84000</v>
      </c>
      <c r="N742" s="902" t="s">
        <v>2764</v>
      </c>
      <c r="O742" s="902" t="s">
        <v>2744</v>
      </c>
      <c r="P742" s="922">
        <v>21000</v>
      </c>
    </row>
    <row r="743" spans="1:16" ht="15.95" customHeight="1">
      <c r="A743" s="902" t="s">
        <v>2855</v>
      </c>
      <c r="B743" s="902" t="s">
        <v>1402</v>
      </c>
      <c r="C743" s="902" t="s">
        <v>96</v>
      </c>
      <c r="D743" s="925" t="s">
        <v>2751</v>
      </c>
      <c r="E743" s="922">
        <v>7000</v>
      </c>
      <c r="F743" s="902" t="s">
        <v>2765</v>
      </c>
      <c r="G743" s="901" t="s">
        <v>2766</v>
      </c>
      <c r="H743" s="925" t="s">
        <v>2754</v>
      </c>
      <c r="I743" s="901" t="s">
        <v>2742</v>
      </c>
      <c r="J743" s="901" t="s">
        <v>2743</v>
      </c>
      <c r="K743" s="923" t="s">
        <v>2737</v>
      </c>
      <c r="L743" s="923" t="s">
        <v>2738</v>
      </c>
      <c r="M743" s="922">
        <v>84000</v>
      </c>
      <c r="N743" s="902" t="s">
        <v>2744</v>
      </c>
      <c r="O743" s="902" t="s">
        <v>2739</v>
      </c>
      <c r="P743" s="922">
        <v>42000</v>
      </c>
    </row>
    <row r="744" spans="1:16" ht="15.95" customHeight="1">
      <c r="A744" s="902" t="s">
        <v>2855</v>
      </c>
      <c r="B744" s="902" t="s">
        <v>1402</v>
      </c>
      <c r="C744" s="902" t="s">
        <v>96</v>
      </c>
      <c r="D744" s="925" t="s">
        <v>2767</v>
      </c>
      <c r="E744" s="922">
        <v>2500</v>
      </c>
      <c r="F744" s="902" t="s">
        <v>2768</v>
      </c>
      <c r="G744" s="901" t="s">
        <v>2769</v>
      </c>
      <c r="H744" s="925" t="s">
        <v>2770</v>
      </c>
      <c r="I744" s="901" t="s">
        <v>1407</v>
      </c>
      <c r="J744" s="901" t="s">
        <v>1407</v>
      </c>
      <c r="K744" s="923" t="s">
        <v>2737</v>
      </c>
      <c r="L744" s="923" t="s">
        <v>2738</v>
      </c>
      <c r="M744" s="922">
        <v>30000</v>
      </c>
      <c r="N744" s="902" t="s">
        <v>2744</v>
      </c>
      <c r="O744" s="902" t="s">
        <v>2739</v>
      </c>
      <c r="P744" s="922">
        <v>15000</v>
      </c>
    </row>
    <row r="745" spans="1:16" ht="15.95" customHeight="1">
      <c r="A745" s="902" t="s">
        <v>2855</v>
      </c>
      <c r="B745" s="902" t="s">
        <v>1402</v>
      </c>
      <c r="C745" s="902" t="s">
        <v>96</v>
      </c>
      <c r="D745" s="925" t="s">
        <v>2771</v>
      </c>
      <c r="E745" s="922">
        <v>6200</v>
      </c>
      <c r="F745" s="902" t="s">
        <v>2772</v>
      </c>
      <c r="G745" s="901" t="s">
        <v>2773</v>
      </c>
      <c r="H745" s="925" t="s">
        <v>2754</v>
      </c>
      <c r="I745" s="901" t="s">
        <v>2742</v>
      </c>
      <c r="J745" s="901" t="s">
        <v>2743</v>
      </c>
      <c r="K745" s="923" t="s">
        <v>2737</v>
      </c>
      <c r="L745" s="923" t="s">
        <v>2738</v>
      </c>
      <c r="M745" s="922">
        <v>74400</v>
      </c>
      <c r="N745" s="902" t="s">
        <v>2744</v>
      </c>
      <c r="O745" s="902" t="s">
        <v>2739</v>
      </c>
      <c r="P745" s="922">
        <v>37200</v>
      </c>
    </row>
    <row r="746" spans="1:16" ht="15.95" customHeight="1">
      <c r="A746" s="902" t="s">
        <v>2855</v>
      </c>
      <c r="B746" s="902" t="s">
        <v>1402</v>
      </c>
      <c r="C746" s="902" t="s">
        <v>96</v>
      </c>
      <c r="D746" s="925" t="s">
        <v>2774</v>
      </c>
      <c r="E746" s="922">
        <v>6500</v>
      </c>
      <c r="F746" s="902" t="s">
        <v>2775</v>
      </c>
      <c r="G746" s="901" t="s">
        <v>2776</v>
      </c>
      <c r="H746" s="925" t="s">
        <v>2777</v>
      </c>
      <c r="I746" s="901" t="s">
        <v>2742</v>
      </c>
      <c r="J746" s="901" t="s">
        <v>2743</v>
      </c>
      <c r="K746" s="923" t="s">
        <v>2737</v>
      </c>
      <c r="L746" s="923" t="s">
        <v>2738</v>
      </c>
      <c r="M746" s="922">
        <v>78000</v>
      </c>
      <c r="N746" s="902" t="s">
        <v>2744</v>
      </c>
      <c r="O746" s="902" t="s">
        <v>2739</v>
      </c>
      <c r="P746" s="922">
        <v>39000</v>
      </c>
    </row>
    <row r="747" spans="1:16" ht="15.95" customHeight="1">
      <c r="A747" s="902" t="s">
        <v>2855</v>
      </c>
      <c r="B747" s="902" t="s">
        <v>1402</v>
      </c>
      <c r="C747" s="902" t="s">
        <v>96</v>
      </c>
      <c r="D747" s="925" t="s">
        <v>2778</v>
      </c>
      <c r="E747" s="922">
        <v>5500</v>
      </c>
      <c r="F747" s="902" t="s">
        <v>2779</v>
      </c>
      <c r="G747" s="901" t="s">
        <v>2780</v>
      </c>
      <c r="H747" s="925" t="s">
        <v>2754</v>
      </c>
      <c r="I747" s="901" t="s">
        <v>2742</v>
      </c>
      <c r="J747" s="901" t="s">
        <v>2743</v>
      </c>
      <c r="K747" s="923" t="s">
        <v>2737</v>
      </c>
      <c r="L747" s="923" t="s">
        <v>2738</v>
      </c>
      <c r="M747" s="922">
        <v>66000</v>
      </c>
      <c r="N747" s="902" t="s">
        <v>2744</v>
      </c>
      <c r="O747" s="902" t="s">
        <v>2739</v>
      </c>
      <c r="P747" s="922">
        <v>33000</v>
      </c>
    </row>
    <row r="748" spans="1:16" ht="24">
      <c r="A748" s="902" t="s">
        <v>2855</v>
      </c>
      <c r="B748" s="902" t="s">
        <v>1402</v>
      </c>
      <c r="C748" s="902" t="s">
        <v>96</v>
      </c>
      <c r="D748" s="925" t="s">
        <v>2781</v>
      </c>
      <c r="E748" s="922">
        <v>5500</v>
      </c>
      <c r="F748" s="902" t="s">
        <v>2782</v>
      </c>
      <c r="G748" s="901" t="s">
        <v>2783</v>
      </c>
      <c r="H748" s="925" t="s">
        <v>2784</v>
      </c>
      <c r="I748" s="901" t="s">
        <v>2742</v>
      </c>
      <c r="J748" s="901" t="s">
        <v>2785</v>
      </c>
      <c r="K748" s="923" t="s">
        <v>2737</v>
      </c>
      <c r="L748" s="923" t="s">
        <v>2738</v>
      </c>
      <c r="M748" s="922">
        <v>66000</v>
      </c>
      <c r="N748" s="902" t="s">
        <v>2744</v>
      </c>
      <c r="O748" s="902" t="s">
        <v>2739</v>
      </c>
      <c r="P748" s="922">
        <v>33000</v>
      </c>
    </row>
    <row r="749" spans="1:16" ht="15.95" customHeight="1">
      <c r="A749" s="902" t="s">
        <v>2855</v>
      </c>
      <c r="B749" s="902" t="s">
        <v>1402</v>
      </c>
      <c r="C749" s="902" t="s">
        <v>96</v>
      </c>
      <c r="D749" s="925" t="s">
        <v>2786</v>
      </c>
      <c r="E749" s="922">
        <v>2500</v>
      </c>
      <c r="F749" s="902" t="s">
        <v>2787</v>
      </c>
      <c r="G749" s="901" t="s">
        <v>2788</v>
      </c>
      <c r="H749" s="925" t="s">
        <v>2770</v>
      </c>
      <c r="I749" s="901" t="s">
        <v>1407</v>
      </c>
      <c r="J749" s="901" t="s">
        <v>1407</v>
      </c>
      <c r="K749" s="923" t="s">
        <v>2737</v>
      </c>
      <c r="L749" s="923" t="s">
        <v>2738</v>
      </c>
      <c r="M749" s="922">
        <v>30000</v>
      </c>
      <c r="N749" s="902" t="s">
        <v>2744</v>
      </c>
      <c r="O749" s="902" t="s">
        <v>2739</v>
      </c>
      <c r="P749" s="922">
        <v>15000</v>
      </c>
    </row>
    <row r="750" spans="1:16" ht="15.95" customHeight="1">
      <c r="A750" s="902" t="s">
        <v>2855</v>
      </c>
      <c r="B750" s="902" t="s">
        <v>1402</v>
      </c>
      <c r="C750" s="902" t="s">
        <v>96</v>
      </c>
      <c r="D750" s="925" t="s">
        <v>2789</v>
      </c>
      <c r="E750" s="922">
        <v>2000</v>
      </c>
      <c r="F750" s="902" t="s">
        <v>2790</v>
      </c>
      <c r="G750" s="901" t="s">
        <v>2791</v>
      </c>
      <c r="H750" s="925" t="s">
        <v>2770</v>
      </c>
      <c r="I750" s="901" t="s">
        <v>1407</v>
      </c>
      <c r="J750" s="901" t="s">
        <v>1407</v>
      </c>
      <c r="K750" s="923" t="s">
        <v>2737</v>
      </c>
      <c r="L750" s="923" t="s">
        <v>2738</v>
      </c>
      <c r="M750" s="922">
        <v>24000</v>
      </c>
      <c r="N750" s="902" t="s">
        <v>2744</v>
      </c>
      <c r="O750" s="902" t="s">
        <v>2739</v>
      </c>
      <c r="P750" s="922">
        <v>12000</v>
      </c>
    </row>
    <row r="751" spans="1:16" ht="15.95" customHeight="1">
      <c r="A751" s="902" t="s">
        <v>2855</v>
      </c>
      <c r="B751" s="902" t="s">
        <v>1402</v>
      </c>
      <c r="C751" s="902" t="s">
        <v>96</v>
      </c>
      <c r="D751" s="925" t="s">
        <v>2792</v>
      </c>
      <c r="E751" s="922">
        <v>2000</v>
      </c>
      <c r="F751" s="902" t="s">
        <v>2793</v>
      </c>
      <c r="G751" s="901" t="s">
        <v>2794</v>
      </c>
      <c r="H751" s="925" t="s">
        <v>2770</v>
      </c>
      <c r="I751" s="901" t="s">
        <v>1407</v>
      </c>
      <c r="J751" s="901" t="s">
        <v>1407</v>
      </c>
      <c r="K751" s="923" t="s">
        <v>2744</v>
      </c>
      <c r="L751" s="923" t="s">
        <v>2795</v>
      </c>
      <c r="M751" s="922">
        <v>18000</v>
      </c>
      <c r="N751" s="902" t="s">
        <v>2731</v>
      </c>
      <c r="O751" s="902" t="s">
        <v>2731</v>
      </c>
      <c r="P751" s="922">
        <v>0</v>
      </c>
    </row>
    <row r="752" spans="1:16" ht="15.95" customHeight="1">
      <c r="A752" s="902" t="s">
        <v>2855</v>
      </c>
      <c r="B752" s="902" t="s">
        <v>1402</v>
      </c>
      <c r="C752" s="902" t="s">
        <v>96</v>
      </c>
      <c r="D752" s="925" t="s">
        <v>2796</v>
      </c>
      <c r="E752" s="922">
        <v>5000</v>
      </c>
      <c r="F752" s="902" t="s">
        <v>2793</v>
      </c>
      <c r="G752" s="901" t="s">
        <v>2794</v>
      </c>
      <c r="H752" s="925" t="s">
        <v>2797</v>
      </c>
      <c r="I752" s="901" t="s">
        <v>2742</v>
      </c>
      <c r="J752" s="901" t="s">
        <v>2797</v>
      </c>
      <c r="K752" s="923" t="s">
        <v>2764</v>
      </c>
      <c r="L752" s="923" t="s">
        <v>2744</v>
      </c>
      <c r="M752" s="922">
        <v>15000</v>
      </c>
      <c r="N752" s="902" t="s">
        <v>2744</v>
      </c>
      <c r="O752" s="902" t="s">
        <v>2739</v>
      </c>
      <c r="P752" s="922">
        <v>30000</v>
      </c>
    </row>
    <row r="753" spans="1:16" ht="15.95" customHeight="1">
      <c r="A753" s="902" t="s">
        <v>2855</v>
      </c>
      <c r="B753" s="902" t="s">
        <v>1402</v>
      </c>
      <c r="C753" s="902" t="s">
        <v>96</v>
      </c>
      <c r="D753" s="925" t="s">
        <v>2751</v>
      </c>
      <c r="E753" s="922">
        <v>7000</v>
      </c>
      <c r="F753" s="902" t="s">
        <v>2798</v>
      </c>
      <c r="G753" s="901" t="s">
        <v>2799</v>
      </c>
      <c r="H753" s="925" t="s">
        <v>2754</v>
      </c>
      <c r="I753" s="901" t="s">
        <v>2742</v>
      </c>
      <c r="J753" s="901" t="s">
        <v>2743</v>
      </c>
      <c r="K753" s="923" t="s">
        <v>2737</v>
      </c>
      <c r="L753" s="923" t="s">
        <v>2738</v>
      </c>
      <c r="M753" s="922">
        <v>84000</v>
      </c>
      <c r="N753" s="902" t="s">
        <v>2744</v>
      </c>
      <c r="O753" s="902" t="s">
        <v>2739</v>
      </c>
      <c r="P753" s="922">
        <v>42000</v>
      </c>
    </row>
    <row r="754" spans="1:16" ht="15.95" customHeight="1">
      <c r="A754" s="902" t="s">
        <v>2855</v>
      </c>
      <c r="B754" s="902" t="s">
        <v>1402</v>
      </c>
      <c r="C754" s="902" t="s">
        <v>96</v>
      </c>
      <c r="D754" s="925" t="s">
        <v>2761</v>
      </c>
      <c r="E754" s="922">
        <v>7000</v>
      </c>
      <c r="F754" s="902" t="s">
        <v>2800</v>
      </c>
      <c r="G754" s="901" t="s">
        <v>2801</v>
      </c>
      <c r="H754" s="925" t="s">
        <v>2761</v>
      </c>
      <c r="I754" s="901" t="s">
        <v>2742</v>
      </c>
      <c r="J754" s="901" t="s">
        <v>2761</v>
      </c>
      <c r="K754" s="923" t="s">
        <v>2737</v>
      </c>
      <c r="L754" s="923" t="s">
        <v>2738</v>
      </c>
      <c r="M754" s="922">
        <v>84000</v>
      </c>
      <c r="N754" s="902" t="s">
        <v>2731</v>
      </c>
      <c r="O754" s="902" t="s">
        <v>2731</v>
      </c>
      <c r="P754" s="922">
        <v>0</v>
      </c>
    </row>
    <row r="755" spans="1:16" ht="15.95" customHeight="1">
      <c r="A755" s="902" t="s">
        <v>2855</v>
      </c>
      <c r="B755" s="902" t="s">
        <v>1402</v>
      </c>
      <c r="C755" s="902" t="s">
        <v>96</v>
      </c>
      <c r="D755" s="925" t="s">
        <v>2802</v>
      </c>
      <c r="E755" s="922">
        <v>7000</v>
      </c>
      <c r="F755" s="902" t="s">
        <v>2803</v>
      </c>
      <c r="G755" s="901" t="s">
        <v>2804</v>
      </c>
      <c r="H755" s="925" t="s">
        <v>2805</v>
      </c>
      <c r="I755" s="901" t="s">
        <v>2742</v>
      </c>
      <c r="J755" s="901" t="s">
        <v>2743</v>
      </c>
      <c r="K755" s="923" t="s">
        <v>2760</v>
      </c>
      <c r="L755" s="923" t="s">
        <v>2739</v>
      </c>
      <c r="M755" s="922">
        <v>42000</v>
      </c>
      <c r="N755" s="902" t="s">
        <v>2744</v>
      </c>
      <c r="O755" s="902" t="s">
        <v>2739</v>
      </c>
      <c r="P755" s="922">
        <v>42000</v>
      </c>
    </row>
    <row r="756" spans="1:16" ht="24">
      <c r="A756" s="902" t="s">
        <v>2855</v>
      </c>
      <c r="B756" s="902" t="s">
        <v>1402</v>
      </c>
      <c r="C756" s="902" t="s">
        <v>96</v>
      </c>
      <c r="D756" s="925" t="s">
        <v>2806</v>
      </c>
      <c r="E756" s="922">
        <v>9000</v>
      </c>
      <c r="F756" s="902" t="s">
        <v>2807</v>
      </c>
      <c r="G756" s="901" t="s">
        <v>2808</v>
      </c>
      <c r="H756" s="925" t="s">
        <v>2805</v>
      </c>
      <c r="I756" s="901" t="s">
        <v>2742</v>
      </c>
      <c r="J756" s="901" t="s">
        <v>2743</v>
      </c>
      <c r="K756" s="923" t="s">
        <v>2737</v>
      </c>
      <c r="L756" s="923" t="s">
        <v>2738</v>
      </c>
      <c r="M756" s="922">
        <v>108000</v>
      </c>
      <c r="N756" s="902" t="s">
        <v>2744</v>
      </c>
      <c r="O756" s="902" t="s">
        <v>2739</v>
      </c>
      <c r="P756" s="922">
        <v>54000</v>
      </c>
    </row>
    <row r="757" spans="1:16" ht="15.95" customHeight="1">
      <c r="A757" s="902" t="s">
        <v>2855</v>
      </c>
      <c r="B757" s="902" t="s">
        <v>1402</v>
      </c>
      <c r="C757" s="902" t="s">
        <v>96</v>
      </c>
      <c r="D757" s="925" t="s">
        <v>1478</v>
      </c>
      <c r="E757" s="922">
        <v>3000</v>
      </c>
      <c r="F757" s="902" t="s">
        <v>2809</v>
      </c>
      <c r="G757" s="901" t="s">
        <v>2810</v>
      </c>
      <c r="H757" s="925" t="s">
        <v>2811</v>
      </c>
      <c r="I757" s="901" t="s">
        <v>1407</v>
      </c>
      <c r="J757" s="901" t="s">
        <v>1407</v>
      </c>
      <c r="K757" s="923" t="s">
        <v>2737</v>
      </c>
      <c r="L757" s="923" t="s">
        <v>2738</v>
      </c>
      <c r="M757" s="922">
        <v>36000</v>
      </c>
      <c r="N757" s="902" t="s">
        <v>2744</v>
      </c>
      <c r="O757" s="902" t="s">
        <v>2739</v>
      </c>
      <c r="P757" s="922">
        <v>18000</v>
      </c>
    </row>
    <row r="758" spans="1:16" ht="15.95" customHeight="1">
      <c r="A758" s="902" t="s">
        <v>2855</v>
      </c>
      <c r="B758" s="902" t="s">
        <v>1402</v>
      </c>
      <c r="C758" s="902" t="s">
        <v>96</v>
      </c>
      <c r="D758" s="925" t="s">
        <v>2561</v>
      </c>
      <c r="E758" s="922">
        <v>4000</v>
      </c>
      <c r="F758" s="902" t="s">
        <v>2812</v>
      </c>
      <c r="G758" s="901" t="s">
        <v>2813</v>
      </c>
      <c r="H758" s="925" t="s">
        <v>2814</v>
      </c>
      <c r="I758" s="901" t="s">
        <v>1420</v>
      </c>
      <c r="J758" s="901" t="s">
        <v>1417</v>
      </c>
      <c r="K758" s="923" t="s">
        <v>2737</v>
      </c>
      <c r="L758" s="923" t="s">
        <v>2738</v>
      </c>
      <c r="M758" s="922">
        <v>48000</v>
      </c>
      <c r="N758" s="902" t="s">
        <v>2744</v>
      </c>
      <c r="O758" s="902" t="s">
        <v>2739</v>
      </c>
      <c r="P758" s="922">
        <v>24000</v>
      </c>
    </row>
    <row r="759" spans="1:16" ht="24">
      <c r="A759" s="902" t="s">
        <v>2855</v>
      </c>
      <c r="B759" s="902" t="s">
        <v>1402</v>
      </c>
      <c r="C759" s="902" t="s">
        <v>96</v>
      </c>
      <c r="D759" s="925" t="s">
        <v>2815</v>
      </c>
      <c r="E759" s="922">
        <v>4000</v>
      </c>
      <c r="F759" s="902" t="s">
        <v>2816</v>
      </c>
      <c r="G759" s="901" t="s">
        <v>2817</v>
      </c>
      <c r="H759" s="925" t="s">
        <v>2797</v>
      </c>
      <c r="I759" s="901" t="s">
        <v>2742</v>
      </c>
      <c r="J759" s="901" t="s">
        <v>2797</v>
      </c>
      <c r="K759" s="923" t="s">
        <v>2760</v>
      </c>
      <c r="L759" s="923" t="s">
        <v>2739</v>
      </c>
      <c r="M759" s="922">
        <v>24000</v>
      </c>
      <c r="N759" s="902" t="s">
        <v>2731</v>
      </c>
      <c r="O759" s="902" t="s">
        <v>2731</v>
      </c>
      <c r="P759" s="922">
        <v>0</v>
      </c>
    </row>
    <row r="760" spans="1:16" ht="24">
      <c r="A760" s="902" t="s">
        <v>2855</v>
      </c>
      <c r="B760" s="902" t="s">
        <v>1402</v>
      </c>
      <c r="C760" s="902" t="s">
        <v>96</v>
      </c>
      <c r="D760" s="925" t="s">
        <v>2818</v>
      </c>
      <c r="E760" s="922">
        <v>5000</v>
      </c>
      <c r="F760" s="902" t="s">
        <v>2819</v>
      </c>
      <c r="G760" s="901" t="s">
        <v>2820</v>
      </c>
      <c r="H760" s="925" t="s">
        <v>2797</v>
      </c>
      <c r="I760" s="901" t="s">
        <v>2742</v>
      </c>
      <c r="J760" s="901" t="s">
        <v>2797</v>
      </c>
      <c r="K760" s="923" t="s">
        <v>2737</v>
      </c>
      <c r="L760" s="923" t="s">
        <v>2738</v>
      </c>
      <c r="M760" s="922">
        <v>60000</v>
      </c>
      <c r="N760" s="902" t="s">
        <v>2744</v>
      </c>
      <c r="O760" s="902" t="s">
        <v>2739</v>
      </c>
      <c r="P760" s="922">
        <v>30000</v>
      </c>
    </row>
    <row r="761" spans="1:16" ht="15.95" customHeight="1">
      <c r="A761" s="902" t="s">
        <v>2855</v>
      </c>
      <c r="B761" s="902" t="s">
        <v>1402</v>
      </c>
      <c r="C761" s="902" t="s">
        <v>96</v>
      </c>
      <c r="D761" s="925" t="s">
        <v>2821</v>
      </c>
      <c r="E761" s="922">
        <v>7000</v>
      </c>
      <c r="F761" s="902" t="s">
        <v>2822</v>
      </c>
      <c r="G761" s="901" t="s">
        <v>2823</v>
      </c>
      <c r="H761" s="925" t="s">
        <v>2754</v>
      </c>
      <c r="I761" s="901" t="s">
        <v>2742</v>
      </c>
      <c r="J761" s="901" t="s">
        <v>2743</v>
      </c>
      <c r="K761" s="923" t="s">
        <v>2737</v>
      </c>
      <c r="L761" s="923" t="s">
        <v>2738</v>
      </c>
      <c r="M761" s="922">
        <v>84000</v>
      </c>
      <c r="N761" s="902" t="s">
        <v>2744</v>
      </c>
      <c r="O761" s="902" t="s">
        <v>2739</v>
      </c>
      <c r="P761" s="922">
        <v>42000</v>
      </c>
    </row>
    <row r="762" spans="1:16" ht="24">
      <c r="A762" s="902" t="s">
        <v>2855</v>
      </c>
      <c r="B762" s="902" t="s">
        <v>1402</v>
      </c>
      <c r="C762" s="902" t="s">
        <v>96</v>
      </c>
      <c r="D762" s="925" t="s">
        <v>2824</v>
      </c>
      <c r="E762" s="922">
        <v>5500</v>
      </c>
      <c r="F762" s="902" t="s">
        <v>2825</v>
      </c>
      <c r="G762" s="901" t="s">
        <v>2826</v>
      </c>
      <c r="H762" s="925" t="s">
        <v>2741</v>
      </c>
      <c r="I762" s="901" t="s">
        <v>2742</v>
      </c>
      <c r="J762" s="901" t="s">
        <v>2743</v>
      </c>
      <c r="K762" s="923" t="s">
        <v>2737</v>
      </c>
      <c r="L762" s="923" t="s">
        <v>2738</v>
      </c>
      <c r="M762" s="922">
        <v>66000</v>
      </c>
      <c r="N762" s="902" t="s">
        <v>2744</v>
      </c>
      <c r="O762" s="902" t="s">
        <v>2739</v>
      </c>
      <c r="P762" s="922">
        <v>33000</v>
      </c>
    </row>
    <row r="763" spans="1:16" ht="15.95" customHeight="1">
      <c r="A763" s="902" t="s">
        <v>2855</v>
      </c>
      <c r="B763" s="902" t="s">
        <v>1402</v>
      </c>
      <c r="C763" s="902" t="s">
        <v>96</v>
      </c>
      <c r="D763" s="925" t="s">
        <v>2751</v>
      </c>
      <c r="E763" s="922">
        <v>7000</v>
      </c>
      <c r="F763" s="902" t="s">
        <v>2827</v>
      </c>
      <c r="G763" s="901" t="s">
        <v>2828</v>
      </c>
      <c r="H763" s="925" t="s">
        <v>2754</v>
      </c>
      <c r="I763" s="901" t="s">
        <v>2742</v>
      </c>
      <c r="J763" s="901" t="s">
        <v>2743</v>
      </c>
      <c r="K763" s="923" t="s">
        <v>2737</v>
      </c>
      <c r="L763" s="923" t="s">
        <v>2738</v>
      </c>
      <c r="M763" s="922">
        <v>84000</v>
      </c>
      <c r="N763" s="902" t="s">
        <v>2744</v>
      </c>
      <c r="O763" s="902" t="s">
        <v>2739</v>
      </c>
      <c r="P763" s="922">
        <v>42000</v>
      </c>
    </row>
    <row r="764" spans="1:16" ht="15.95" customHeight="1">
      <c r="A764" s="902" t="s">
        <v>2855</v>
      </c>
      <c r="B764" s="902" t="s">
        <v>1402</v>
      </c>
      <c r="C764" s="902" t="s">
        <v>96</v>
      </c>
      <c r="D764" s="925" t="s">
        <v>1478</v>
      </c>
      <c r="E764" s="922">
        <v>3000</v>
      </c>
      <c r="F764" s="902" t="s">
        <v>2829</v>
      </c>
      <c r="G764" s="901" t="s">
        <v>2830</v>
      </c>
      <c r="H764" s="925" t="s">
        <v>2831</v>
      </c>
      <c r="I764" s="901" t="s">
        <v>1407</v>
      </c>
      <c r="J764" s="901" t="s">
        <v>1407</v>
      </c>
      <c r="K764" s="923" t="s">
        <v>2737</v>
      </c>
      <c r="L764" s="923" t="s">
        <v>2738</v>
      </c>
      <c r="M764" s="922">
        <v>36000</v>
      </c>
      <c r="N764" s="902" t="s">
        <v>2744</v>
      </c>
      <c r="O764" s="902" t="s">
        <v>2739</v>
      </c>
      <c r="P764" s="922">
        <v>18000</v>
      </c>
    </row>
    <row r="765" spans="1:16" ht="15.95" customHeight="1">
      <c r="A765" s="902" t="s">
        <v>2855</v>
      </c>
      <c r="B765" s="902" t="s">
        <v>1402</v>
      </c>
      <c r="C765" s="902" t="s">
        <v>96</v>
      </c>
      <c r="D765" s="925" t="s">
        <v>2821</v>
      </c>
      <c r="E765" s="922">
        <v>7000</v>
      </c>
      <c r="F765" s="902" t="s">
        <v>2832</v>
      </c>
      <c r="G765" s="901" t="s">
        <v>2833</v>
      </c>
      <c r="H765" s="925" t="s">
        <v>2834</v>
      </c>
      <c r="I765" s="901" t="s">
        <v>2742</v>
      </c>
      <c r="J765" s="901" t="s">
        <v>2743</v>
      </c>
      <c r="K765" s="923" t="s">
        <v>2737</v>
      </c>
      <c r="L765" s="923" t="s">
        <v>2738</v>
      </c>
      <c r="M765" s="922">
        <v>84000</v>
      </c>
      <c r="N765" s="902" t="s">
        <v>2744</v>
      </c>
      <c r="O765" s="902" t="s">
        <v>2739</v>
      </c>
      <c r="P765" s="922">
        <v>42000</v>
      </c>
    </row>
    <row r="766" spans="1:16" ht="15.95" customHeight="1">
      <c r="A766" s="902" t="s">
        <v>2855</v>
      </c>
      <c r="B766" s="902" t="s">
        <v>1402</v>
      </c>
      <c r="C766" s="902" t="s">
        <v>96</v>
      </c>
      <c r="D766" s="925" t="s">
        <v>2778</v>
      </c>
      <c r="E766" s="922">
        <v>7000</v>
      </c>
      <c r="F766" s="902" t="s">
        <v>2835</v>
      </c>
      <c r="G766" s="901" t="s">
        <v>2836</v>
      </c>
      <c r="H766" s="925" t="s">
        <v>2754</v>
      </c>
      <c r="I766" s="901" t="s">
        <v>2742</v>
      </c>
      <c r="J766" s="901" t="s">
        <v>2743</v>
      </c>
      <c r="K766" s="923" t="s">
        <v>2737</v>
      </c>
      <c r="L766" s="923" t="s">
        <v>2738</v>
      </c>
      <c r="M766" s="922">
        <v>84000</v>
      </c>
      <c r="N766" s="902" t="s">
        <v>2744</v>
      </c>
      <c r="O766" s="902" t="s">
        <v>2739</v>
      </c>
      <c r="P766" s="922">
        <v>42000</v>
      </c>
    </row>
    <row r="767" spans="1:16" ht="15.95" customHeight="1">
      <c r="A767" s="902" t="s">
        <v>2855</v>
      </c>
      <c r="B767" s="902" t="s">
        <v>1402</v>
      </c>
      <c r="C767" s="902" t="s">
        <v>96</v>
      </c>
      <c r="D767" s="925" t="s">
        <v>2821</v>
      </c>
      <c r="E767" s="922">
        <v>7000</v>
      </c>
      <c r="F767" s="902" t="s">
        <v>2837</v>
      </c>
      <c r="G767" s="901" t="s">
        <v>2838</v>
      </c>
      <c r="H767" s="925" t="s">
        <v>2754</v>
      </c>
      <c r="I767" s="901" t="s">
        <v>2742</v>
      </c>
      <c r="J767" s="901" t="s">
        <v>2743</v>
      </c>
      <c r="K767" s="923" t="s">
        <v>2737</v>
      </c>
      <c r="L767" s="923" t="s">
        <v>2738</v>
      </c>
      <c r="M767" s="922">
        <v>84000</v>
      </c>
      <c r="N767" s="902" t="s">
        <v>2744</v>
      </c>
      <c r="O767" s="902" t="s">
        <v>2739</v>
      </c>
      <c r="P767" s="922">
        <v>42000</v>
      </c>
    </row>
    <row r="768" spans="1:16" ht="15.95" customHeight="1">
      <c r="A768" s="902" t="s">
        <v>2855</v>
      </c>
      <c r="B768" s="902" t="s">
        <v>1402</v>
      </c>
      <c r="C768" s="902" t="s">
        <v>96</v>
      </c>
      <c r="D768" s="925" t="s">
        <v>2751</v>
      </c>
      <c r="E768" s="922">
        <v>7000</v>
      </c>
      <c r="F768" s="902" t="s">
        <v>2839</v>
      </c>
      <c r="G768" s="901" t="s">
        <v>2840</v>
      </c>
      <c r="H768" s="925" t="s">
        <v>2805</v>
      </c>
      <c r="I768" s="901" t="s">
        <v>2742</v>
      </c>
      <c r="J768" s="901" t="s">
        <v>2743</v>
      </c>
      <c r="K768" s="923" t="s">
        <v>2737</v>
      </c>
      <c r="L768" s="923" t="s">
        <v>2738</v>
      </c>
      <c r="M768" s="922">
        <v>84000</v>
      </c>
      <c r="N768" s="902" t="s">
        <v>2744</v>
      </c>
      <c r="O768" s="902" t="s">
        <v>2739</v>
      </c>
      <c r="P768" s="922">
        <v>42000</v>
      </c>
    </row>
    <row r="769" spans="1:18" ht="15.95" customHeight="1">
      <c r="A769" s="902" t="s">
        <v>2855</v>
      </c>
      <c r="B769" s="902" t="s">
        <v>1402</v>
      </c>
      <c r="C769" s="902" t="s">
        <v>96</v>
      </c>
      <c r="D769" s="925" t="s">
        <v>2841</v>
      </c>
      <c r="E769" s="922">
        <v>7000</v>
      </c>
      <c r="F769" s="902" t="s">
        <v>2842</v>
      </c>
      <c r="G769" s="901" t="s">
        <v>2843</v>
      </c>
      <c r="H769" s="925" t="s">
        <v>2750</v>
      </c>
      <c r="I769" s="901" t="s">
        <v>2742</v>
      </c>
      <c r="J769" s="901" t="s">
        <v>2750</v>
      </c>
      <c r="K769" s="923" t="s">
        <v>2764</v>
      </c>
      <c r="L769" s="923" t="s">
        <v>2744</v>
      </c>
      <c r="M769" s="922">
        <v>21000</v>
      </c>
      <c r="N769" s="902" t="s">
        <v>2764</v>
      </c>
      <c r="O769" s="902" t="s">
        <v>2744</v>
      </c>
      <c r="P769" s="922">
        <v>21000</v>
      </c>
    </row>
    <row r="770" spans="1:18" ht="15.95" customHeight="1">
      <c r="A770" s="902" t="s">
        <v>2855</v>
      </c>
      <c r="B770" s="902" t="s">
        <v>1402</v>
      </c>
      <c r="C770" s="902" t="s">
        <v>96</v>
      </c>
      <c r="D770" s="925" t="s">
        <v>2792</v>
      </c>
      <c r="E770" s="922">
        <v>2000</v>
      </c>
      <c r="F770" s="902" t="s">
        <v>2844</v>
      </c>
      <c r="G770" s="901" t="s">
        <v>2845</v>
      </c>
      <c r="H770" s="925" t="s">
        <v>1407</v>
      </c>
      <c r="I770" s="901" t="s">
        <v>1407</v>
      </c>
      <c r="J770" s="901" t="s">
        <v>1407</v>
      </c>
      <c r="K770" s="923" t="s">
        <v>2764</v>
      </c>
      <c r="L770" s="923" t="s">
        <v>2764</v>
      </c>
      <c r="M770" s="922">
        <v>2000</v>
      </c>
      <c r="N770" s="902" t="s">
        <v>2744</v>
      </c>
      <c r="O770" s="902" t="s">
        <v>2739</v>
      </c>
      <c r="P770" s="922">
        <v>12000</v>
      </c>
    </row>
    <row r="771" spans="1:18" ht="15.95" customHeight="1">
      <c r="A771" s="902" t="s">
        <v>2855</v>
      </c>
      <c r="B771" s="902" t="s">
        <v>1402</v>
      </c>
      <c r="C771" s="902" t="s">
        <v>96</v>
      </c>
      <c r="D771" s="925" t="s">
        <v>1478</v>
      </c>
      <c r="E771" s="922">
        <v>3000</v>
      </c>
      <c r="F771" s="902" t="s">
        <v>2846</v>
      </c>
      <c r="G771" s="901" t="s">
        <v>2847</v>
      </c>
      <c r="H771" s="925" t="s">
        <v>2831</v>
      </c>
      <c r="I771" s="901" t="s">
        <v>1407</v>
      </c>
      <c r="J771" s="901" t="s">
        <v>1407</v>
      </c>
      <c r="K771" s="923" t="s">
        <v>2737</v>
      </c>
      <c r="L771" s="923" t="s">
        <v>2738</v>
      </c>
      <c r="M771" s="922">
        <v>36000</v>
      </c>
      <c r="N771" s="902" t="s">
        <v>2744</v>
      </c>
      <c r="O771" s="902" t="s">
        <v>2739</v>
      </c>
      <c r="P771" s="922">
        <v>18000</v>
      </c>
    </row>
    <row r="772" spans="1:18" ht="15.95" customHeight="1">
      <c r="A772" s="902" t="s">
        <v>2855</v>
      </c>
      <c r="B772" s="902" t="s">
        <v>1402</v>
      </c>
      <c r="C772" s="902" t="s">
        <v>96</v>
      </c>
      <c r="D772" s="925" t="s">
        <v>2848</v>
      </c>
      <c r="E772" s="922">
        <v>4000</v>
      </c>
      <c r="F772" s="902" t="s">
        <v>2849</v>
      </c>
      <c r="G772" s="901" t="s">
        <v>2850</v>
      </c>
      <c r="H772" s="925" t="s">
        <v>2797</v>
      </c>
      <c r="I772" s="901" t="s">
        <v>2742</v>
      </c>
      <c r="J772" s="901" t="s">
        <v>2797</v>
      </c>
      <c r="K772" s="923" t="s">
        <v>2764</v>
      </c>
      <c r="L772" s="923" t="s">
        <v>2744</v>
      </c>
      <c r="M772" s="922">
        <v>12000</v>
      </c>
      <c r="N772" s="902" t="s">
        <v>2744</v>
      </c>
      <c r="O772" s="902" t="s">
        <v>2739</v>
      </c>
      <c r="P772" s="922">
        <v>24000</v>
      </c>
    </row>
    <row r="773" spans="1:18" ht="15.95" customHeight="1">
      <c r="A773" s="902" t="s">
        <v>2855</v>
      </c>
      <c r="B773" s="902" t="s">
        <v>1402</v>
      </c>
      <c r="C773" s="902" t="s">
        <v>96</v>
      </c>
      <c r="D773" s="925" t="s">
        <v>2778</v>
      </c>
      <c r="E773" s="922">
        <v>7000</v>
      </c>
      <c r="F773" s="902" t="s">
        <v>2851</v>
      </c>
      <c r="G773" s="901" t="s">
        <v>2852</v>
      </c>
      <c r="H773" s="925" t="s">
        <v>2754</v>
      </c>
      <c r="I773" s="901" t="s">
        <v>2742</v>
      </c>
      <c r="J773" s="901" t="s">
        <v>2743</v>
      </c>
      <c r="K773" s="923" t="s">
        <v>2737</v>
      </c>
      <c r="L773" s="923" t="s">
        <v>2738</v>
      </c>
      <c r="M773" s="922">
        <v>84000</v>
      </c>
      <c r="N773" s="902" t="s">
        <v>2760</v>
      </c>
      <c r="O773" s="902" t="s">
        <v>2739</v>
      </c>
      <c r="P773" s="922">
        <v>24000</v>
      </c>
    </row>
    <row r="774" spans="1:18" ht="15.95" customHeight="1">
      <c r="A774" s="902" t="s">
        <v>2855</v>
      </c>
      <c r="B774" s="902" t="s">
        <v>1402</v>
      </c>
      <c r="C774" s="902" t="s">
        <v>96</v>
      </c>
      <c r="D774" s="925" t="s">
        <v>2821</v>
      </c>
      <c r="E774" s="922">
        <v>7000</v>
      </c>
      <c r="F774" s="902" t="s">
        <v>2853</v>
      </c>
      <c r="G774" s="901" t="s">
        <v>2854</v>
      </c>
      <c r="H774" s="925" t="s">
        <v>2754</v>
      </c>
      <c r="I774" s="901" t="s">
        <v>2742</v>
      </c>
      <c r="J774" s="901" t="s">
        <v>2743</v>
      </c>
      <c r="K774" s="923" t="s">
        <v>2737</v>
      </c>
      <c r="L774" s="923" t="s">
        <v>2738</v>
      </c>
      <c r="M774" s="922">
        <v>84000</v>
      </c>
      <c r="N774" s="902" t="s">
        <v>2744</v>
      </c>
      <c r="O774" s="902" t="s">
        <v>2739</v>
      </c>
      <c r="P774" s="922">
        <v>42000</v>
      </c>
    </row>
    <row r="775" spans="1:18">
      <c r="A775" s="924"/>
      <c r="B775" s="908"/>
      <c r="C775" s="908"/>
      <c r="D775" s="910"/>
      <c r="E775" s="917"/>
      <c r="F775" s="908"/>
      <c r="G775" s="910"/>
      <c r="H775" s="910"/>
      <c r="I775" s="911" t="s">
        <v>4245</v>
      </c>
      <c r="J775" s="911"/>
      <c r="K775" s="923"/>
      <c r="L775" s="923"/>
      <c r="M775" s="922">
        <v>88838</v>
      </c>
      <c r="N775" s="902"/>
      <c r="O775" s="902"/>
      <c r="P775" s="922">
        <v>72594</v>
      </c>
    </row>
    <row r="776" spans="1:18">
      <c r="K776" s="920" t="s">
        <v>2856</v>
      </c>
      <c r="L776" s="921"/>
      <c r="M776" s="919">
        <f>SUM(M736:M775)</f>
        <v>2373238</v>
      </c>
      <c r="N776" s="920"/>
      <c r="O776" s="920"/>
      <c r="P776" s="919">
        <f>SUM(P736:P775)</f>
        <v>1158794</v>
      </c>
      <c r="Q776" s="918">
        <v>2373238</v>
      </c>
    </row>
    <row r="777" spans="1:18">
      <c r="A777" s="600" t="s">
        <v>3198</v>
      </c>
    </row>
    <row r="778" spans="1:18" s="276" customFormat="1" ht="24">
      <c r="A778" s="908" t="s">
        <v>2857</v>
      </c>
      <c r="B778" s="908" t="s">
        <v>2858</v>
      </c>
      <c r="C778" s="908" t="s">
        <v>96</v>
      </c>
      <c r="D778" s="910" t="s">
        <v>2859</v>
      </c>
      <c r="E778" s="907">
        <v>4000</v>
      </c>
      <c r="F778" s="908" t="s">
        <v>2860</v>
      </c>
      <c r="G778" s="911" t="s">
        <v>2861</v>
      </c>
      <c r="H778" s="910" t="s">
        <v>2862</v>
      </c>
      <c r="I778" s="911" t="s">
        <v>2863</v>
      </c>
      <c r="J778" s="910" t="s">
        <v>2862</v>
      </c>
      <c r="K778" s="909">
        <v>1</v>
      </c>
      <c r="L778" s="909">
        <v>12</v>
      </c>
      <c r="M778" s="917">
        <v>49960.800000000003</v>
      </c>
      <c r="N778" s="908">
        <v>1</v>
      </c>
      <c r="O778" s="908">
        <v>6</v>
      </c>
      <c r="P778" s="917">
        <v>25044.9</v>
      </c>
      <c r="R778" s="890"/>
    </row>
    <row r="779" spans="1:18" s="276" customFormat="1">
      <c r="A779" s="908" t="s">
        <v>2857</v>
      </c>
      <c r="B779" s="908" t="s">
        <v>2858</v>
      </c>
      <c r="C779" s="908" t="s">
        <v>96</v>
      </c>
      <c r="D779" s="910" t="s">
        <v>2864</v>
      </c>
      <c r="E779" s="907">
        <v>1700</v>
      </c>
      <c r="F779" s="908" t="s">
        <v>2865</v>
      </c>
      <c r="G779" s="911" t="s">
        <v>2866</v>
      </c>
      <c r="H779" s="910" t="s">
        <v>2867</v>
      </c>
      <c r="I779" s="911"/>
      <c r="J779" s="910" t="s">
        <v>2867</v>
      </c>
      <c r="K779" s="909">
        <v>1</v>
      </c>
      <c r="L779" s="909">
        <v>4</v>
      </c>
      <c r="M779" s="917">
        <v>7853.6</v>
      </c>
      <c r="N779" s="908">
        <v>1</v>
      </c>
      <c r="O779" s="908">
        <v>6</v>
      </c>
      <c r="P779" s="917">
        <v>11244.9</v>
      </c>
      <c r="R779" s="890"/>
    </row>
    <row r="780" spans="1:18" s="276" customFormat="1" ht="24">
      <c r="A780" s="908" t="s">
        <v>2857</v>
      </c>
      <c r="B780" s="908" t="s">
        <v>1402</v>
      </c>
      <c r="C780" s="908" t="s">
        <v>96</v>
      </c>
      <c r="D780" s="910" t="s">
        <v>2868</v>
      </c>
      <c r="E780" s="907">
        <v>3000</v>
      </c>
      <c r="F780" s="908" t="s">
        <v>2869</v>
      </c>
      <c r="G780" s="911" t="s">
        <v>2870</v>
      </c>
      <c r="H780" s="910" t="s">
        <v>2871</v>
      </c>
      <c r="I780" s="911" t="s">
        <v>1420</v>
      </c>
      <c r="J780" s="910" t="s">
        <v>2871</v>
      </c>
      <c r="K780" s="909">
        <v>1</v>
      </c>
      <c r="L780" s="909">
        <v>11</v>
      </c>
      <c r="M780" s="917">
        <v>40252.47</v>
      </c>
      <c r="N780" s="908">
        <v>1</v>
      </c>
      <c r="O780" s="908"/>
      <c r="P780" s="917">
        <v>0</v>
      </c>
      <c r="R780" s="890"/>
    </row>
    <row r="781" spans="1:18" s="276" customFormat="1" ht="15.95" customHeight="1">
      <c r="A781" s="908" t="s">
        <v>2857</v>
      </c>
      <c r="B781" s="908" t="s">
        <v>2858</v>
      </c>
      <c r="C781" s="908" t="s">
        <v>96</v>
      </c>
      <c r="D781" s="910" t="s">
        <v>2872</v>
      </c>
      <c r="E781" s="907">
        <v>2000</v>
      </c>
      <c r="F781" s="908" t="s">
        <v>2873</v>
      </c>
      <c r="G781" s="911" t="s">
        <v>2874</v>
      </c>
      <c r="H781" s="910" t="s">
        <v>2867</v>
      </c>
      <c r="I781" s="911"/>
      <c r="J781" s="910" t="s">
        <v>2867</v>
      </c>
      <c r="K781" s="909">
        <v>1</v>
      </c>
      <c r="L781" s="909">
        <v>4</v>
      </c>
      <c r="M781" s="917">
        <v>9053.6</v>
      </c>
      <c r="N781" s="908">
        <v>1</v>
      </c>
      <c r="O781" s="908"/>
      <c r="P781" s="917">
        <v>0</v>
      </c>
      <c r="R781" s="890"/>
    </row>
    <row r="782" spans="1:18" s="276" customFormat="1" ht="15.95" customHeight="1">
      <c r="A782" s="908" t="s">
        <v>2857</v>
      </c>
      <c r="B782" s="908" t="s">
        <v>2858</v>
      </c>
      <c r="C782" s="908" t="s">
        <v>96</v>
      </c>
      <c r="D782" s="910" t="s">
        <v>2864</v>
      </c>
      <c r="E782" s="907">
        <v>1700</v>
      </c>
      <c r="F782" s="908" t="s">
        <v>2875</v>
      </c>
      <c r="G782" s="911" t="s">
        <v>2876</v>
      </c>
      <c r="H782" s="910" t="s">
        <v>2867</v>
      </c>
      <c r="I782" s="911"/>
      <c r="J782" s="910" t="s">
        <v>2867</v>
      </c>
      <c r="K782" s="909">
        <v>1</v>
      </c>
      <c r="L782" s="909">
        <v>6</v>
      </c>
      <c r="M782" s="917">
        <v>11480.4</v>
      </c>
      <c r="N782" s="908">
        <v>1</v>
      </c>
      <c r="O782" s="908">
        <v>6</v>
      </c>
      <c r="P782" s="917">
        <v>11244.9</v>
      </c>
      <c r="R782" s="890"/>
    </row>
    <row r="783" spans="1:18" s="276" customFormat="1" ht="15.95" customHeight="1">
      <c r="A783" s="908" t="s">
        <v>2857</v>
      </c>
      <c r="B783" s="908" t="s">
        <v>2858</v>
      </c>
      <c r="C783" s="908" t="s">
        <v>96</v>
      </c>
      <c r="D783" s="910" t="s">
        <v>2877</v>
      </c>
      <c r="E783" s="907">
        <v>1700</v>
      </c>
      <c r="F783" s="908" t="s">
        <v>2878</v>
      </c>
      <c r="G783" s="911" t="s">
        <v>2879</v>
      </c>
      <c r="H783" s="910" t="s">
        <v>2867</v>
      </c>
      <c r="I783" s="911"/>
      <c r="J783" s="910" t="s">
        <v>2867</v>
      </c>
      <c r="K783" s="909">
        <v>1</v>
      </c>
      <c r="L783" s="909">
        <v>3</v>
      </c>
      <c r="M783" s="917">
        <v>9080.49</v>
      </c>
      <c r="N783" s="908">
        <v>1</v>
      </c>
      <c r="O783" s="908"/>
      <c r="P783" s="917">
        <v>0</v>
      </c>
      <c r="R783" s="890"/>
    </row>
    <row r="784" spans="1:18" s="276" customFormat="1" ht="15.95" customHeight="1">
      <c r="A784" s="908" t="s">
        <v>2857</v>
      </c>
      <c r="B784" s="908" t="s">
        <v>2858</v>
      </c>
      <c r="C784" s="908" t="s">
        <v>96</v>
      </c>
      <c r="D784" s="910" t="s">
        <v>2880</v>
      </c>
      <c r="E784" s="907">
        <v>7000</v>
      </c>
      <c r="F784" s="908" t="s">
        <v>2881</v>
      </c>
      <c r="G784" s="911" t="s">
        <v>2882</v>
      </c>
      <c r="H784" s="910" t="s">
        <v>2883</v>
      </c>
      <c r="I784" s="911" t="s">
        <v>2863</v>
      </c>
      <c r="J784" s="910" t="s">
        <v>2883</v>
      </c>
      <c r="K784" s="909">
        <v>1</v>
      </c>
      <c r="L784" s="909">
        <v>6</v>
      </c>
      <c r="M784" s="917">
        <v>43280.4</v>
      </c>
      <c r="N784" s="908">
        <v>1</v>
      </c>
      <c r="O784" s="908">
        <v>6</v>
      </c>
      <c r="P784" s="917">
        <v>43044.9</v>
      </c>
      <c r="R784" s="890"/>
    </row>
    <row r="785" spans="1:18" s="276" customFormat="1" ht="24">
      <c r="A785" s="908" t="s">
        <v>2857</v>
      </c>
      <c r="B785" s="908" t="s">
        <v>1402</v>
      </c>
      <c r="C785" s="908" t="s">
        <v>96</v>
      </c>
      <c r="D785" s="910" t="s">
        <v>2884</v>
      </c>
      <c r="E785" s="907">
        <v>2000</v>
      </c>
      <c r="F785" s="908" t="s">
        <v>2885</v>
      </c>
      <c r="G785" s="911" t="s">
        <v>2886</v>
      </c>
      <c r="H785" s="910" t="s">
        <v>2887</v>
      </c>
      <c r="I785" s="911" t="s">
        <v>1420</v>
      </c>
      <c r="J785" s="910" t="s">
        <v>2887</v>
      </c>
      <c r="K785" s="909">
        <v>1</v>
      </c>
      <c r="L785" s="909">
        <v>11</v>
      </c>
      <c r="M785" s="917">
        <v>27227.47</v>
      </c>
      <c r="N785" s="908">
        <v>1</v>
      </c>
      <c r="O785" s="908"/>
      <c r="P785" s="917">
        <v>0</v>
      </c>
      <c r="R785" s="890"/>
    </row>
    <row r="786" spans="1:18" s="276" customFormat="1" ht="24">
      <c r="A786" s="908" t="s">
        <v>2857</v>
      </c>
      <c r="B786" s="908" t="s">
        <v>1402</v>
      </c>
      <c r="C786" s="908" t="s">
        <v>96</v>
      </c>
      <c r="D786" s="910" t="s">
        <v>2888</v>
      </c>
      <c r="E786" s="907">
        <v>4200</v>
      </c>
      <c r="F786" s="908" t="s">
        <v>2889</v>
      </c>
      <c r="G786" s="911" t="s">
        <v>2890</v>
      </c>
      <c r="H786" s="910" t="s">
        <v>2891</v>
      </c>
      <c r="I786" s="911" t="s">
        <v>2863</v>
      </c>
      <c r="J786" s="910" t="s">
        <v>2891</v>
      </c>
      <c r="K786" s="909">
        <v>1</v>
      </c>
      <c r="L786" s="909">
        <v>12</v>
      </c>
      <c r="M786" s="917">
        <v>52360.800000000003</v>
      </c>
      <c r="N786" s="908">
        <v>1</v>
      </c>
      <c r="O786" s="908">
        <v>6</v>
      </c>
      <c r="P786" s="917">
        <v>26244.9</v>
      </c>
      <c r="R786" s="890"/>
    </row>
    <row r="787" spans="1:18" s="276" customFormat="1" ht="24">
      <c r="A787" s="908" t="s">
        <v>2857</v>
      </c>
      <c r="B787" s="908" t="s">
        <v>1402</v>
      </c>
      <c r="C787" s="908" t="s">
        <v>96</v>
      </c>
      <c r="D787" s="910" t="s">
        <v>2892</v>
      </c>
      <c r="E787" s="907">
        <v>6000</v>
      </c>
      <c r="F787" s="908" t="s">
        <v>2893</v>
      </c>
      <c r="G787" s="911" t="s">
        <v>2894</v>
      </c>
      <c r="H787" s="910" t="s">
        <v>2895</v>
      </c>
      <c r="I787" s="911" t="s">
        <v>2863</v>
      </c>
      <c r="J787" s="910" t="s">
        <v>2895</v>
      </c>
      <c r="K787" s="909">
        <v>1</v>
      </c>
      <c r="L787" s="909">
        <v>12</v>
      </c>
      <c r="M787" s="917">
        <v>73960.800000000003</v>
      </c>
      <c r="N787" s="908">
        <v>1</v>
      </c>
      <c r="O787" s="908">
        <v>6</v>
      </c>
      <c r="P787" s="917">
        <v>37044.9</v>
      </c>
      <c r="R787" s="890"/>
    </row>
    <row r="788" spans="1:18" s="276" customFormat="1" ht="24">
      <c r="A788" s="908" t="s">
        <v>2857</v>
      </c>
      <c r="B788" s="908" t="s">
        <v>1402</v>
      </c>
      <c r="C788" s="908" t="s">
        <v>96</v>
      </c>
      <c r="D788" s="910" t="s">
        <v>2896</v>
      </c>
      <c r="E788" s="907">
        <v>4000</v>
      </c>
      <c r="F788" s="908" t="s">
        <v>2897</v>
      </c>
      <c r="G788" s="911" t="s">
        <v>2898</v>
      </c>
      <c r="H788" s="910" t="s">
        <v>2899</v>
      </c>
      <c r="I788" s="911" t="s">
        <v>2863</v>
      </c>
      <c r="J788" s="910" t="s">
        <v>2899</v>
      </c>
      <c r="K788" s="909">
        <v>1</v>
      </c>
      <c r="L788" s="909">
        <v>9</v>
      </c>
      <c r="M788" s="917">
        <v>45100.67</v>
      </c>
      <c r="N788" s="908">
        <v>1</v>
      </c>
      <c r="O788" s="908"/>
      <c r="P788" s="917">
        <v>0</v>
      </c>
      <c r="R788" s="890"/>
    </row>
    <row r="789" spans="1:18" s="276" customFormat="1" ht="15.95" customHeight="1">
      <c r="A789" s="908" t="s">
        <v>2857</v>
      </c>
      <c r="B789" s="908" t="s">
        <v>1402</v>
      </c>
      <c r="C789" s="908" t="s">
        <v>96</v>
      </c>
      <c r="D789" s="910" t="s">
        <v>2900</v>
      </c>
      <c r="E789" s="907">
        <v>2500</v>
      </c>
      <c r="F789" s="908" t="s">
        <v>2901</v>
      </c>
      <c r="G789" s="911" t="s">
        <v>2902</v>
      </c>
      <c r="H789" s="910" t="s">
        <v>2867</v>
      </c>
      <c r="I789" s="911"/>
      <c r="J789" s="910" t="s">
        <v>2867</v>
      </c>
      <c r="K789" s="909">
        <v>1</v>
      </c>
      <c r="L789" s="909">
        <v>12</v>
      </c>
      <c r="M789" s="917">
        <v>31960.799999999999</v>
      </c>
      <c r="N789" s="908">
        <v>1</v>
      </c>
      <c r="O789" s="908">
        <v>6</v>
      </c>
      <c r="P789" s="917">
        <v>16044.9</v>
      </c>
      <c r="R789" s="890"/>
    </row>
    <row r="790" spans="1:18" s="276" customFormat="1" ht="36">
      <c r="A790" s="908" t="s">
        <v>2857</v>
      </c>
      <c r="B790" s="908" t="s">
        <v>2858</v>
      </c>
      <c r="C790" s="908" t="s">
        <v>96</v>
      </c>
      <c r="D790" s="910" t="s">
        <v>2903</v>
      </c>
      <c r="E790" s="907">
        <v>6000</v>
      </c>
      <c r="F790" s="908" t="s">
        <v>2904</v>
      </c>
      <c r="G790" s="911" t="s">
        <v>2905</v>
      </c>
      <c r="H790" s="910" t="s">
        <v>2906</v>
      </c>
      <c r="I790" s="911" t="s">
        <v>1420</v>
      </c>
      <c r="J790" s="910" t="s">
        <v>2906</v>
      </c>
      <c r="K790" s="909">
        <v>1</v>
      </c>
      <c r="L790" s="909">
        <v>12</v>
      </c>
      <c r="M790" s="917">
        <v>73960.800000000003</v>
      </c>
      <c r="N790" s="908">
        <v>1</v>
      </c>
      <c r="O790" s="908">
        <v>6</v>
      </c>
      <c r="P790" s="917">
        <v>37044.9</v>
      </c>
      <c r="R790" s="890"/>
    </row>
    <row r="791" spans="1:18" s="276" customFormat="1" ht="24">
      <c r="A791" s="908" t="s">
        <v>2857</v>
      </c>
      <c r="B791" s="908" t="s">
        <v>1402</v>
      </c>
      <c r="C791" s="908" t="s">
        <v>96</v>
      </c>
      <c r="D791" s="910" t="s">
        <v>1640</v>
      </c>
      <c r="E791" s="907">
        <v>3200</v>
      </c>
      <c r="F791" s="908" t="s">
        <v>2907</v>
      </c>
      <c r="G791" s="911" t="s">
        <v>2908</v>
      </c>
      <c r="H791" s="910" t="s">
        <v>2909</v>
      </c>
      <c r="I791" s="911"/>
      <c r="J791" s="910" t="s">
        <v>2909</v>
      </c>
      <c r="K791" s="909">
        <v>1</v>
      </c>
      <c r="L791" s="909">
        <v>12</v>
      </c>
      <c r="M791" s="917">
        <v>40360.800000000003</v>
      </c>
      <c r="N791" s="908">
        <v>1</v>
      </c>
      <c r="O791" s="908">
        <v>6</v>
      </c>
      <c r="P791" s="917">
        <v>20244.900000000001</v>
      </c>
      <c r="R791" s="890"/>
    </row>
    <row r="792" spans="1:18" s="276" customFormat="1" ht="15.95" customHeight="1">
      <c r="A792" s="908" t="s">
        <v>2857</v>
      </c>
      <c r="B792" s="908" t="s">
        <v>1402</v>
      </c>
      <c r="C792" s="908" t="s">
        <v>96</v>
      </c>
      <c r="D792" s="910" t="s">
        <v>2910</v>
      </c>
      <c r="E792" s="907">
        <v>4000</v>
      </c>
      <c r="F792" s="908" t="s">
        <v>2911</v>
      </c>
      <c r="G792" s="911" t="s">
        <v>2912</v>
      </c>
      <c r="H792" s="910" t="s">
        <v>2913</v>
      </c>
      <c r="I792" s="911" t="s">
        <v>2863</v>
      </c>
      <c r="J792" s="910" t="s">
        <v>2913</v>
      </c>
      <c r="K792" s="909">
        <v>1</v>
      </c>
      <c r="L792" s="909">
        <v>5</v>
      </c>
      <c r="M792" s="917">
        <v>24491.510000000002</v>
      </c>
      <c r="N792" s="908">
        <v>1</v>
      </c>
      <c r="O792" s="908"/>
      <c r="P792" s="917">
        <v>0</v>
      </c>
      <c r="R792" s="890"/>
    </row>
    <row r="793" spans="1:18" s="276" customFormat="1" ht="24">
      <c r="A793" s="908" t="s">
        <v>2857</v>
      </c>
      <c r="B793" s="908" t="s">
        <v>1402</v>
      </c>
      <c r="C793" s="908" t="s">
        <v>96</v>
      </c>
      <c r="D793" s="910" t="s">
        <v>2914</v>
      </c>
      <c r="E793" s="907">
        <v>3000</v>
      </c>
      <c r="F793" s="908">
        <v>46475366</v>
      </c>
      <c r="G793" s="911" t="s">
        <v>2915</v>
      </c>
      <c r="H793" s="910" t="s">
        <v>2916</v>
      </c>
      <c r="I793" s="911" t="s">
        <v>1420</v>
      </c>
      <c r="J793" s="910" t="s">
        <v>2916</v>
      </c>
      <c r="K793" s="909">
        <v>1</v>
      </c>
      <c r="L793" s="909">
        <v>12</v>
      </c>
      <c r="M793" s="917">
        <v>37960.800000000003</v>
      </c>
      <c r="N793" s="908">
        <v>1</v>
      </c>
      <c r="O793" s="908">
        <v>6</v>
      </c>
      <c r="P793" s="917">
        <v>19044.900000000001</v>
      </c>
      <c r="R793" s="890"/>
    </row>
    <row r="794" spans="1:18" s="276" customFormat="1" ht="24">
      <c r="A794" s="908" t="s">
        <v>2857</v>
      </c>
      <c r="B794" s="908" t="s">
        <v>2858</v>
      </c>
      <c r="C794" s="908" t="s">
        <v>96</v>
      </c>
      <c r="D794" s="910" t="s">
        <v>2917</v>
      </c>
      <c r="E794" s="907">
        <v>6000</v>
      </c>
      <c r="F794" s="908" t="s">
        <v>2918</v>
      </c>
      <c r="G794" s="911" t="s">
        <v>2919</v>
      </c>
      <c r="H794" s="910" t="s">
        <v>2920</v>
      </c>
      <c r="I794" s="911" t="s">
        <v>2863</v>
      </c>
      <c r="J794" s="910" t="s">
        <v>2920</v>
      </c>
      <c r="K794" s="909">
        <v>1</v>
      </c>
      <c r="L794" s="909">
        <v>6</v>
      </c>
      <c r="M794" s="917">
        <v>37280.400000000001</v>
      </c>
      <c r="N794" s="908">
        <v>1</v>
      </c>
      <c r="O794" s="908">
        <v>6</v>
      </c>
      <c r="P794" s="917">
        <v>37044.9</v>
      </c>
      <c r="R794" s="890"/>
    </row>
    <row r="795" spans="1:18" s="276" customFormat="1" ht="36">
      <c r="A795" s="908" t="s">
        <v>2857</v>
      </c>
      <c r="B795" s="908" t="s">
        <v>1402</v>
      </c>
      <c r="C795" s="908" t="s">
        <v>96</v>
      </c>
      <c r="D795" s="910" t="s">
        <v>1539</v>
      </c>
      <c r="E795" s="907">
        <v>2400</v>
      </c>
      <c r="F795" s="908" t="s">
        <v>2921</v>
      </c>
      <c r="G795" s="911" t="s">
        <v>2922</v>
      </c>
      <c r="H795" s="910" t="s">
        <v>2923</v>
      </c>
      <c r="I795" s="911" t="s">
        <v>1420</v>
      </c>
      <c r="J795" s="910" t="s">
        <v>2923</v>
      </c>
      <c r="K795" s="909">
        <v>1</v>
      </c>
      <c r="L795" s="909">
        <v>9</v>
      </c>
      <c r="M795" s="917">
        <v>27547.33</v>
      </c>
      <c r="N795" s="908">
        <v>1</v>
      </c>
      <c r="O795" s="908"/>
      <c r="P795" s="917">
        <v>0</v>
      </c>
      <c r="R795" s="890"/>
    </row>
    <row r="796" spans="1:18" s="276" customFormat="1" ht="15.95" customHeight="1">
      <c r="A796" s="908" t="s">
        <v>2857</v>
      </c>
      <c r="B796" s="908" t="s">
        <v>2858</v>
      </c>
      <c r="C796" s="908" t="s">
        <v>96</v>
      </c>
      <c r="D796" s="910" t="s">
        <v>2924</v>
      </c>
      <c r="E796" s="907">
        <v>1700</v>
      </c>
      <c r="F796" s="908" t="s">
        <v>2925</v>
      </c>
      <c r="G796" s="911" t="s">
        <v>2926</v>
      </c>
      <c r="H796" s="910" t="s">
        <v>2867</v>
      </c>
      <c r="I796" s="911"/>
      <c r="J796" s="910" t="s">
        <v>2867</v>
      </c>
      <c r="K796" s="909">
        <v>1</v>
      </c>
      <c r="L796" s="909">
        <v>12</v>
      </c>
      <c r="M796" s="917">
        <v>22360.799999999999</v>
      </c>
      <c r="N796" s="908">
        <v>1</v>
      </c>
      <c r="O796" s="908">
        <v>3</v>
      </c>
      <c r="P796" s="917">
        <v>6144.9</v>
      </c>
      <c r="R796" s="890"/>
    </row>
    <row r="797" spans="1:18" s="276" customFormat="1" ht="15.95" customHeight="1">
      <c r="A797" s="908" t="s">
        <v>2857</v>
      </c>
      <c r="B797" s="908" t="s">
        <v>2858</v>
      </c>
      <c r="C797" s="908" t="s">
        <v>96</v>
      </c>
      <c r="D797" s="910" t="s">
        <v>2864</v>
      </c>
      <c r="E797" s="907">
        <v>1700</v>
      </c>
      <c r="F797" s="908" t="s">
        <v>2927</v>
      </c>
      <c r="G797" s="911" t="s">
        <v>2928</v>
      </c>
      <c r="H797" s="910" t="s">
        <v>2867</v>
      </c>
      <c r="I797" s="911"/>
      <c r="J797" s="910" t="s">
        <v>2867</v>
      </c>
      <c r="K797" s="909">
        <v>1</v>
      </c>
      <c r="L797" s="909">
        <v>12</v>
      </c>
      <c r="M797" s="917">
        <v>22360.799999999999</v>
      </c>
      <c r="N797" s="908">
        <v>1</v>
      </c>
      <c r="O797" s="908">
        <v>6</v>
      </c>
      <c r="P797" s="917">
        <v>11244.9</v>
      </c>
      <c r="R797" s="890"/>
    </row>
    <row r="798" spans="1:18" s="276" customFormat="1" ht="15.95" customHeight="1">
      <c r="A798" s="908" t="s">
        <v>2857</v>
      </c>
      <c r="B798" s="908" t="s">
        <v>2858</v>
      </c>
      <c r="C798" s="908" t="s">
        <v>96</v>
      </c>
      <c r="D798" s="910" t="s">
        <v>2929</v>
      </c>
      <c r="E798" s="907">
        <v>6000</v>
      </c>
      <c r="F798" s="908">
        <v>41875272</v>
      </c>
      <c r="G798" s="911" t="s">
        <v>2930</v>
      </c>
      <c r="H798" s="910" t="s">
        <v>2797</v>
      </c>
      <c r="I798" s="911" t="s">
        <v>2863</v>
      </c>
      <c r="J798" s="910" t="s">
        <v>2797</v>
      </c>
      <c r="K798" s="909">
        <v>1</v>
      </c>
      <c r="L798" s="909">
        <v>6</v>
      </c>
      <c r="M798" s="917">
        <v>37280.400000000001</v>
      </c>
      <c r="N798" s="908">
        <v>1</v>
      </c>
      <c r="O798" s="908">
        <v>4</v>
      </c>
      <c r="P798" s="917">
        <v>25044.9</v>
      </c>
      <c r="R798" s="890"/>
    </row>
    <row r="799" spans="1:18" s="276" customFormat="1" ht="15.95" customHeight="1">
      <c r="A799" s="908" t="s">
        <v>2857</v>
      </c>
      <c r="B799" s="908" t="s">
        <v>1402</v>
      </c>
      <c r="C799" s="908" t="s">
        <v>96</v>
      </c>
      <c r="D799" s="910" t="s">
        <v>2864</v>
      </c>
      <c r="E799" s="907">
        <v>1700</v>
      </c>
      <c r="F799" s="908" t="s">
        <v>2931</v>
      </c>
      <c r="G799" s="911" t="s">
        <v>2932</v>
      </c>
      <c r="H799" s="910" t="s">
        <v>1432</v>
      </c>
      <c r="I799" s="911"/>
      <c r="J799" s="910" t="s">
        <v>1432</v>
      </c>
      <c r="K799" s="909">
        <v>1</v>
      </c>
      <c r="L799" s="909">
        <v>12</v>
      </c>
      <c r="M799" s="917">
        <v>22360.799999999999</v>
      </c>
      <c r="N799" s="908">
        <v>1</v>
      </c>
      <c r="O799" s="908">
        <v>6</v>
      </c>
      <c r="P799" s="917">
        <v>11244.9</v>
      </c>
      <c r="R799" s="890"/>
    </row>
    <row r="800" spans="1:18" s="276" customFormat="1" ht="15.95" customHeight="1">
      <c r="A800" s="908" t="s">
        <v>2857</v>
      </c>
      <c r="B800" s="908" t="s">
        <v>2858</v>
      </c>
      <c r="C800" s="908" t="s">
        <v>96</v>
      </c>
      <c r="D800" s="910" t="s">
        <v>2831</v>
      </c>
      <c r="E800" s="907">
        <v>1400</v>
      </c>
      <c r="F800" s="908" t="s">
        <v>2933</v>
      </c>
      <c r="G800" s="911" t="s">
        <v>2934</v>
      </c>
      <c r="H800" s="910" t="s">
        <v>2831</v>
      </c>
      <c r="I800" s="911"/>
      <c r="J800" s="910" t="s">
        <v>2831</v>
      </c>
      <c r="K800" s="909">
        <v>1</v>
      </c>
      <c r="L800" s="909">
        <v>6</v>
      </c>
      <c r="M800" s="917">
        <v>9680.4</v>
      </c>
      <c r="N800" s="908">
        <v>1</v>
      </c>
      <c r="O800" s="908">
        <v>6</v>
      </c>
      <c r="P800" s="917">
        <v>9444.9</v>
      </c>
      <c r="R800" s="890"/>
    </row>
    <row r="801" spans="1:18" s="276" customFormat="1" ht="15.95" customHeight="1">
      <c r="A801" s="908" t="s">
        <v>2857</v>
      </c>
      <c r="B801" s="908" t="s">
        <v>2858</v>
      </c>
      <c r="C801" s="908" t="s">
        <v>96</v>
      </c>
      <c r="D801" s="910" t="s">
        <v>2831</v>
      </c>
      <c r="E801" s="907">
        <v>2500</v>
      </c>
      <c r="F801" s="908" t="s">
        <v>2935</v>
      </c>
      <c r="G801" s="911" t="s">
        <v>2936</v>
      </c>
      <c r="H801" s="910" t="s">
        <v>2831</v>
      </c>
      <c r="I801" s="911"/>
      <c r="J801" s="910" t="s">
        <v>2831</v>
      </c>
      <c r="K801" s="909">
        <v>1</v>
      </c>
      <c r="L801" s="909">
        <v>4</v>
      </c>
      <c r="M801" s="917">
        <v>11053.6</v>
      </c>
      <c r="N801" s="908">
        <v>1</v>
      </c>
      <c r="O801" s="908">
        <v>6</v>
      </c>
      <c r="P801" s="917">
        <v>16044.9</v>
      </c>
      <c r="R801" s="890"/>
    </row>
    <row r="802" spans="1:18" s="276" customFormat="1" ht="24">
      <c r="A802" s="908" t="s">
        <v>2857</v>
      </c>
      <c r="B802" s="908" t="s">
        <v>2858</v>
      </c>
      <c r="C802" s="908" t="s">
        <v>96</v>
      </c>
      <c r="D802" s="910" t="s">
        <v>2425</v>
      </c>
      <c r="E802" s="907">
        <v>7000</v>
      </c>
      <c r="F802" s="908" t="s">
        <v>2937</v>
      </c>
      <c r="G802" s="911" t="s">
        <v>2938</v>
      </c>
      <c r="H802" s="910" t="s">
        <v>2939</v>
      </c>
      <c r="I802" s="911" t="s">
        <v>2863</v>
      </c>
      <c r="J802" s="910" t="s">
        <v>2939</v>
      </c>
      <c r="K802" s="909">
        <v>1</v>
      </c>
      <c r="L802" s="909">
        <v>6</v>
      </c>
      <c r="M802" s="917">
        <v>43280.4</v>
      </c>
      <c r="N802" s="908">
        <v>1</v>
      </c>
      <c r="O802" s="908">
        <v>6</v>
      </c>
      <c r="P802" s="917">
        <v>43044.9</v>
      </c>
      <c r="R802" s="890"/>
    </row>
    <row r="803" spans="1:18" s="276" customFormat="1" ht="24">
      <c r="A803" s="908" t="s">
        <v>2857</v>
      </c>
      <c r="B803" s="908" t="s">
        <v>2858</v>
      </c>
      <c r="C803" s="908" t="s">
        <v>96</v>
      </c>
      <c r="D803" s="910" t="s">
        <v>2864</v>
      </c>
      <c r="E803" s="907">
        <v>1700</v>
      </c>
      <c r="F803" s="908">
        <v>42632806</v>
      </c>
      <c r="G803" s="911" t="s">
        <v>2940</v>
      </c>
      <c r="H803" s="910" t="s">
        <v>2941</v>
      </c>
      <c r="I803" s="911"/>
      <c r="J803" s="910" t="s">
        <v>2941</v>
      </c>
      <c r="K803" s="909">
        <v>1</v>
      </c>
      <c r="L803" s="909">
        <v>12</v>
      </c>
      <c r="M803" s="917">
        <v>22360.799999999999</v>
      </c>
      <c r="N803" s="908">
        <v>1</v>
      </c>
      <c r="O803" s="908">
        <v>6</v>
      </c>
      <c r="P803" s="917">
        <v>11244.9</v>
      </c>
      <c r="R803" s="890"/>
    </row>
    <row r="804" spans="1:18" s="276" customFormat="1" ht="24">
      <c r="A804" s="908" t="s">
        <v>2857</v>
      </c>
      <c r="B804" s="908" t="s">
        <v>1402</v>
      </c>
      <c r="C804" s="908" t="s">
        <v>96</v>
      </c>
      <c r="D804" s="910" t="s">
        <v>2942</v>
      </c>
      <c r="E804" s="907">
        <v>4200</v>
      </c>
      <c r="F804" s="908" t="s">
        <v>2943</v>
      </c>
      <c r="G804" s="911" t="s">
        <v>2944</v>
      </c>
      <c r="H804" s="910" t="s">
        <v>2945</v>
      </c>
      <c r="I804" s="911" t="s">
        <v>2863</v>
      </c>
      <c r="J804" s="910" t="s">
        <v>2945</v>
      </c>
      <c r="K804" s="909">
        <v>1</v>
      </c>
      <c r="L804" s="909">
        <v>9</v>
      </c>
      <c r="M804" s="917">
        <v>42859.33</v>
      </c>
      <c r="N804" s="908">
        <v>1</v>
      </c>
      <c r="O804" s="908"/>
      <c r="P804" s="917">
        <v>0</v>
      </c>
      <c r="R804" s="890"/>
    </row>
    <row r="805" spans="1:18" s="276" customFormat="1" ht="15.95" customHeight="1">
      <c r="A805" s="908" t="s">
        <v>2857</v>
      </c>
      <c r="B805" s="908" t="s">
        <v>1402</v>
      </c>
      <c r="C805" s="908" t="s">
        <v>96</v>
      </c>
      <c r="D805" s="910" t="s">
        <v>2946</v>
      </c>
      <c r="E805" s="907">
        <v>1800</v>
      </c>
      <c r="F805" s="908" t="s">
        <v>2947</v>
      </c>
      <c r="G805" s="911" t="s">
        <v>2948</v>
      </c>
      <c r="H805" s="910" t="s">
        <v>2949</v>
      </c>
      <c r="I805" s="911" t="s">
        <v>1420</v>
      </c>
      <c r="J805" s="910" t="s">
        <v>2949</v>
      </c>
      <c r="K805" s="909">
        <v>1</v>
      </c>
      <c r="L805" s="909">
        <v>12</v>
      </c>
      <c r="M805" s="917">
        <v>23560.799999999999</v>
      </c>
      <c r="N805" s="908">
        <v>1</v>
      </c>
      <c r="O805" s="908"/>
      <c r="P805" s="917">
        <v>1885</v>
      </c>
      <c r="R805" s="890"/>
    </row>
    <row r="806" spans="1:18" s="276" customFormat="1" ht="15.95" customHeight="1">
      <c r="A806" s="908" t="s">
        <v>2857</v>
      </c>
      <c r="B806" s="908" t="s">
        <v>2858</v>
      </c>
      <c r="C806" s="908" t="s">
        <v>96</v>
      </c>
      <c r="D806" s="910" t="s">
        <v>2950</v>
      </c>
      <c r="E806" s="907">
        <v>1700</v>
      </c>
      <c r="F806" s="908" t="s">
        <v>2951</v>
      </c>
      <c r="G806" s="911" t="s">
        <v>2952</v>
      </c>
      <c r="H806" s="910" t="s">
        <v>2867</v>
      </c>
      <c r="I806" s="911"/>
      <c r="J806" s="910" t="s">
        <v>2867</v>
      </c>
      <c r="K806" s="909">
        <v>1</v>
      </c>
      <c r="L806" s="909">
        <v>9</v>
      </c>
      <c r="M806" s="917">
        <v>16620.599999999999</v>
      </c>
      <c r="N806" s="908">
        <v>1</v>
      </c>
      <c r="O806" s="908"/>
      <c r="P806" s="917">
        <v>0</v>
      </c>
      <c r="R806" s="890"/>
    </row>
    <row r="807" spans="1:18" s="276" customFormat="1" ht="15.95" customHeight="1">
      <c r="A807" s="908" t="s">
        <v>2857</v>
      </c>
      <c r="B807" s="908" t="s">
        <v>2858</v>
      </c>
      <c r="C807" s="908" t="s">
        <v>96</v>
      </c>
      <c r="D807" s="910" t="s">
        <v>2953</v>
      </c>
      <c r="E807" s="907">
        <v>2000</v>
      </c>
      <c r="F807" s="908" t="s">
        <v>2954</v>
      </c>
      <c r="G807" s="911" t="s">
        <v>2955</v>
      </c>
      <c r="H807" s="910" t="s">
        <v>2867</v>
      </c>
      <c r="I807" s="911"/>
      <c r="J807" s="910" t="s">
        <v>2867</v>
      </c>
      <c r="K807" s="909">
        <v>1</v>
      </c>
      <c r="L807" s="909">
        <v>12</v>
      </c>
      <c r="M807" s="917">
        <v>25960.799999999999</v>
      </c>
      <c r="N807" s="908">
        <v>1</v>
      </c>
      <c r="O807" s="908">
        <v>6</v>
      </c>
      <c r="P807" s="917">
        <v>13044.9</v>
      </c>
      <c r="R807" s="890"/>
    </row>
    <row r="808" spans="1:18" s="276" customFormat="1" ht="36">
      <c r="A808" s="908" t="s">
        <v>2857</v>
      </c>
      <c r="B808" s="908" t="s">
        <v>1402</v>
      </c>
      <c r="C808" s="908" t="s">
        <v>96</v>
      </c>
      <c r="D808" s="910" t="s">
        <v>2956</v>
      </c>
      <c r="E808" s="907">
        <v>4000</v>
      </c>
      <c r="F808" s="908" t="s">
        <v>2957</v>
      </c>
      <c r="G808" s="911" t="s">
        <v>2958</v>
      </c>
      <c r="H808" s="910" t="s">
        <v>2959</v>
      </c>
      <c r="I808" s="911" t="s">
        <v>2863</v>
      </c>
      <c r="J808" s="910" t="s">
        <v>2959</v>
      </c>
      <c r="K808" s="909">
        <v>1</v>
      </c>
      <c r="L808" s="909">
        <v>12</v>
      </c>
      <c r="M808" s="917">
        <v>49960.800000000003</v>
      </c>
      <c r="N808" s="908">
        <v>1</v>
      </c>
      <c r="O808" s="908">
        <v>6</v>
      </c>
      <c r="P808" s="917">
        <v>25044.9</v>
      </c>
      <c r="R808" s="890"/>
    </row>
    <row r="809" spans="1:18" s="276" customFormat="1" ht="15.95" customHeight="1">
      <c r="A809" s="908" t="s">
        <v>2857</v>
      </c>
      <c r="B809" s="908" t="s">
        <v>2858</v>
      </c>
      <c r="C809" s="908" t="s">
        <v>96</v>
      </c>
      <c r="D809" s="910" t="s">
        <v>2960</v>
      </c>
      <c r="E809" s="907">
        <v>4000</v>
      </c>
      <c r="F809" s="908" t="s">
        <v>2961</v>
      </c>
      <c r="G809" s="911" t="s">
        <v>2962</v>
      </c>
      <c r="H809" s="910" t="s">
        <v>2963</v>
      </c>
      <c r="I809" s="911" t="s">
        <v>1420</v>
      </c>
      <c r="J809" s="910" t="s">
        <v>2963</v>
      </c>
      <c r="K809" s="909">
        <v>1</v>
      </c>
      <c r="L809" s="909">
        <v>4</v>
      </c>
      <c r="M809" s="917">
        <v>20678.11</v>
      </c>
      <c r="N809" s="908">
        <v>1</v>
      </c>
      <c r="O809" s="908"/>
      <c r="P809" s="917">
        <v>0</v>
      </c>
      <c r="R809" s="890"/>
    </row>
    <row r="810" spans="1:18" s="276" customFormat="1" ht="24">
      <c r="A810" s="908" t="s">
        <v>2857</v>
      </c>
      <c r="B810" s="908" t="s">
        <v>2964</v>
      </c>
      <c r="C810" s="908" t="s">
        <v>96</v>
      </c>
      <c r="D810" s="910" t="s">
        <v>2965</v>
      </c>
      <c r="E810" s="907">
        <v>4200</v>
      </c>
      <c r="F810" s="908" t="s">
        <v>2966</v>
      </c>
      <c r="G810" s="911" t="s">
        <v>2967</v>
      </c>
      <c r="H810" s="910" t="s">
        <v>2945</v>
      </c>
      <c r="I810" s="911" t="s">
        <v>2863</v>
      </c>
      <c r="J810" s="910" t="s">
        <v>2945</v>
      </c>
      <c r="K810" s="909">
        <v>1</v>
      </c>
      <c r="L810" s="909">
        <v>7</v>
      </c>
      <c r="M810" s="917">
        <v>39283.57</v>
      </c>
      <c r="N810" s="908">
        <v>1</v>
      </c>
      <c r="O810" s="908"/>
      <c r="P810" s="917">
        <v>0</v>
      </c>
      <c r="R810" s="890"/>
    </row>
    <row r="811" spans="1:18" s="276" customFormat="1" ht="15.95" customHeight="1">
      <c r="A811" s="908" t="s">
        <v>2857</v>
      </c>
      <c r="B811" s="908" t="s">
        <v>2858</v>
      </c>
      <c r="C811" s="908" t="s">
        <v>96</v>
      </c>
      <c r="D811" s="910" t="s">
        <v>2953</v>
      </c>
      <c r="E811" s="907">
        <v>2000</v>
      </c>
      <c r="F811" s="908" t="s">
        <v>2968</v>
      </c>
      <c r="G811" s="911" t="s">
        <v>2969</v>
      </c>
      <c r="H811" s="910" t="s">
        <v>2867</v>
      </c>
      <c r="I811" s="911"/>
      <c r="J811" s="910" t="s">
        <v>2867</v>
      </c>
      <c r="K811" s="909">
        <v>1</v>
      </c>
      <c r="L811" s="909">
        <v>3</v>
      </c>
      <c r="M811" s="917">
        <v>6940.2</v>
      </c>
      <c r="N811" s="908">
        <v>1</v>
      </c>
      <c r="O811" s="908">
        <v>6</v>
      </c>
      <c r="P811" s="917">
        <v>13044.9</v>
      </c>
      <c r="R811" s="890"/>
    </row>
    <row r="812" spans="1:18" s="276" customFormat="1" ht="15.95" customHeight="1">
      <c r="A812" s="908" t="s">
        <v>2857</v>
      </c>
      <c r="B812" s="908" t="s">
        <v>1402</v>
      </c>
      <c r="C812" s="908" t="s">
        <v>96</v>
      </c>
      <c r="D812" s="910" t="s">
        <v>1563</v>
      </c>
      <c r="E812" s="907">
        <v>1800</v>
      </c>
      <c r="F812" s="908" t="s">
        <v>2970</v>
      </c>
      <c r="G812" s="911" t="s">
        <v>2971</v>
      </c>
      <c r="H812" s="910" t="s">
        <v>2867</v>
      </c>
      <c r="I812" s="911"/>
      <c r="J812" s="910" t="s">
        <v>2867</v>
      </c>
      <c r="K812" s="909">
        <v>1</v>
      </c>
      <c r="L812" s="909">
        <v>12</v>
      </c>
      <c r="M812" s="917">
        <v>23560.799999999999</v>
      </c>
      <c r="N812" s="908">
        <v>1</v>
      </c>
      <c r="O812" s="908">
        <v>6</v>
      </c>
      <c r="P812" s="917">
        <v>11844.9</v>
      </c>
      <c r="R812" s="890"/>
    </row>
    <row r="813" spans="1:18" s="276" customFormat="1" ht="15.95" customHeight="1">
      <c r="A813" s="908" t="s">
        <v>2857</v>
      </c>
      <c r="B813" s="908" t="s">
        <v>1402</v>
      </c>
      <c r="C813" s="908" t="s">
        <v>96</v>
      </c>
      <c r="D813" s="910" t="s">
        <v>2972</v>
      </c>
      <c r="E813" s="907">
        <v>1500</v>
      </c>
      <c r="F813" s="908" t="s">
        <v>2973</v>
      </c>
      <c r="G813" s="911" t="s">
        <v>2974</v>
      </c>
      <c r="H813" s="910" t="s">
        <v>2867</v>
      </c>
      <c r="I813" s="911"/>
      <c r="J813" s="910" t="s">
        <v>2867</v>
      </c>
      <c r="K813" s="909">
        <v>1</v>
      </c>
      <c r="L813" s="909">
        <v>9</v>
      </c>
      <c r="M813" s="917">
        <v>17150.670000000002</v>
      </c>
      <c r="N813" s="908">
        <v>1</v>
      </c>
      <c r="O813" s="908"/>
      <c r="P813" s="917">
        <v>0</v>
      </c>
      <c r="R813" s="890"/>
    </row>
    <row r="814" spans="1:18" s="276" customFormat="1" ht="15.95" customHeight="1">
      <c r="A814" s="908" t="s">
        <v>2857</v>
      </c>
      <c r="B814" s="908" t="s">
        <v>2858</v>
      </c>
      <c r="C814" s="908" t="s">
        <v>96</v>
      </c>
      <c r="D814" s="910" t="s">
        <v>2953</v>
      </c>
      <c r="E814" s="907">
        <v>2000</v>
      </c>
      <c r="F814" s="908" t="s">
        <v>2975</v>
      </c>
      <c r="G814" s="911" t="s">
        <v>2976</v>
      </c>
      <c r="H814" s="910" t="s">
        <v>2867</v>
      </c>
      <c r="I814" s="911"/>
      <c r="J814" s="910" t="s">
        <v>2867</v>
      </c>
      <c r="K814" s="909">
        <v>1</v>
      </c>
      <c r="L814" s="909">
        <v>6</v>
      </c>
      <c r="M814" s="917">
        <v>16227.14</v>
      </c>
      <c r="N814" s="908">
        <v>1</v>
      </c>
      <c r="O814" s="908"/>
      <c r="P814" s="917">
        <v>0</v>
      </c>
      <c r="R814" s="890"/>
    </row>
    <row r="815" spans="1:18" s="276" customFormat="1" ht="15.95" customHeight="1">
      <c r="A815" s="908" t="s">
        <v>2857</v>
      </c>
      <c r="B815" s="908" t="s">
        <v>2858</v>
      </c>
      <c r="C815" s="908" t="s">
        <v>96</v>
      </c>
      <c r="D815" s="910" t="s">
        <v>2977</v>
      </c>
      <c r="E815" s="907">
        <v>1000</v>
      </c>
      <c r="F815" s="908">
        <v>45034571</v>
      </c>
      <c r="G815" s="911" t="s">
        <v>2978</v>
      </c>
      <c r="H815" s="910" t="s">
        <v>2867</v>
      </c>
      <c r="I815" s="911"/>
      <c r="J815" s="910" t="s">
        <v>2867</v>
      </c>
      <c r="K815" s="909">
        <v>1</v>
      </c>
      <c r="L815" s="909">
        <v>12</v>
      </c>
      <c r="M815" s="917">
        <v>13960.8</v>
      </c>
      <c r="N815" s="908">
        <v>1</v>
      </c>
      <c r="O815" s="908">
        <v>6</v>
      </c>
      <c r="P815" s="917">
        <v>7044.9</v>
      </c>
      <c r="R815" s="890"/>
    </row>
    <row r="816" spans="1:18" s="276" customFormat="1" ht="15.95" customHeight="1">
      <c r="A816" s="908" t="s">
        <v>2857</v>
      </c>
      <c r="B816" s="908" t="s">
        <v>2858</v>
      </c>
      <c r="C816" s="908" t="s">
        <v>96</v>
      </c>
      <c r="D816" s="910" t="s">
        <v>2864</v>
      </c>
      <c r="E816" s="907">
        <v>1700</v>
      </c>
      <c r="F816" s="908" t="s">
        <v>2979</v>
      </c>
      <c r="G816" s="911" t="s">
        <v>2980</v>
      </c>
      <c r="H816" s="910" t="s">
        <v>2867</v>
      </c>
      <c r="I816" s="911"/>
      <c r="J816" s="910" t="s">
        <v>2867</v>
      </c>
      <c r="K816" s="909">
        <v>1</v>
      </c>
      <c r="L816" s="909">
        <v>12</v>
      </c>
      <c r="M816" s="917">
        <v>22360.799999999999</v>
      </c>
      <c r="N816" s="908">
        <v>1</v>
      </c>
      <c r="O816" s="908">
        <v>6</v>
      </c>
      <c r="P816" s="917">
        <v>11244.9</v>
      </c>
      <c r="R816" s="890"/>
    </row>
    <row r="817" spans="1:18" s="276" customFormat="1" ht="15.95" customHeight="1">
      <c r="A817" s="908" t="s">
        <v>2857</v>
      </c>
      <c r="B817" s="908" t="s">
        <v>2858</v>
      </c>
      <c r="C817" s="908" t="s">
        <v>96</v>
      </c>
      <c r="D817" s="910" t="s">
        <v>2981</v>
      </c>
      <c r="E817" s="907">
        <v>1500</v>
      </c>
      <c r="F817" s="908" t="s">
        <v>2982</v>
      </c>
      <c r="G817" s="911" t="s">
        <v>2983</v>
      </c>
      <c r="H817" s="910" t="s">
        <v>2867</v>
      </c>
      <c r="I817" s="911"/>
      <c r="J817" s="910" t="s">
        <v>2867</v>
      </c>
      <c r="K817" s="909">
        <v>1</v>
      </c>
      <c r="L817" s="909">
        <v>12</v>
      </c>
      <c r="M817" s="917">
        <v>19960.8</v>
      </c>
      <c r="N817" s="908">
        <v>1</v>
      </c>
      <c r="O817" s="908">
        <v>6</v>
      </c>
      <c r="P817" s="917">
        <v>10044.9</v>
      </c>
      <c r="R817" s="890"/>
    </row>
    <row r="818" spans="1:18" s="276" customFormat="1" ht="15.95" customHeight="1">
      <c r="A818" s="908" t="s">
        <v>2857</v>
      </c>
      <c r="B818" s="908" t="s">
        <v>2858</v>
      </c>
      <c r="C818" s="908" t="s">
        <v>96</v>
      </c>
      <c r="D818" s="910" t="s">
        <v>2953</v>
      </c>
      <c r="E818" s="907">
        <v>2000</v>
      </c>
      <c r="F818" s="908" t="s">
        <v>2984</v>
      </c>
      <c r="G818" s="911" t="s">
        <v>2985</v>
      </c>
      <c r="H818" s="910" t="s">
        <v>2867</v>
      </c>
      <c r="I818" s="911"/>
      <c r="J818" s="910" t="s">
        <v>2867</v>
      </c>
      <c r="K818" s="909">
        <v>1</v>
      </c>
      <c r="L818" s="909">
        <v>10</v>
      </c>
      <c r="M818" s="917">
        <v>21734</v>
      </c>
      <c r="N818" s="908">
        <v>1</v>
      </c>
      <c r="O818" s="908"/>
      <c r="P818" s="917">
        <v>0</v>
      </c>
      <c r="R818" s="890"/>
    </row>
    <row r="819" spans="1:18" s="276" customFormat="1" ht="15.95" customHeight="1">
      <c r="A819" s="908" t="s">
        <v>2857</v>
      </c>
      <c r="B819" s="908" t="s">
        <v>1402</v>
      </c>
      <c r="C819" s="908" t="s">
        <v>96</v>
      </c>
      <c r="D819" s="910" t="s">
        <v>2900</v>
      </c>
      <c r="E819" s="907">
        <v>2500</v>
      </c>
      <c r="F819" s="908" t="s">
        <v>2986</v>
      </c>
      <c r="G819" s="911" t="s">
        <v>2987</v>
      </c>
      <c r="H819" s="910" t="s">
        <v>2867</v>
      </c>
      <c r="I819" s="911"/>
      <c r="J819" s="910" t="s">
        <v>2867</v>
      </c>
      <c r="K819" s="909">
        <v>1</v>
      </c>
      <c r="L819" s="909">
        <v>12</v>
      </c>
      <c r="M819" s="917">
        <v>31960.799999999999</v>
      </c>
      <c r="N819" s="908">
        <v>1</v>
      </c>
      <c r="O819" s="908">
        <v>6</v>
      </c>
      <c r="P819" s="917">
        <v>16044.9</v>
      </c>
      <c r="R819" s="890"/>
    </row>
    <row r="820" spans="1:18" s="276" customFormat="1" ht="24">
      <c r="A820" s="908" t="s">
        <v>2857</v>
      </c>
      <c r="B820" s="908" t="s">
        <v>1402</v>
      </c>
      <c r="C820" s="908" t="s">
        <v>96</v>
      </c>
      <c r="D820" s="910" t="s">
        <v>2988</v>
      </c>
      <c r="E820" s="907">
        <v>4000</v>
      </c>
      <c r="F820" s="908" t="s">
        <v>2989</v>
      </c>
      <c r="G820" s="911" t="s">
        <v>2990</v>
      </c>
      <c r="H820" s="910" t="s">
        <v>2991</v>
      </c>
      <c r="I820" s="911" t="s">
        <v>2863</v>
      </c>
      <c r="J820" s="910" t="s">
        <v>2991</v>
      </c>
      <c r="K820" s="909">
        <v>1</v>
      </c>
      <c r="L820" s="909">
        <v>12</v>
      </c>
      <c r="M820" s="917">
        <v>49960.800000000003</v>
      </c>
      <c r="N820" s="908">
        <v>1</v>
      </c>
      <c r="O820" s="908">
        <v>6</v>
      </c>
      <c r="P820" s="917">
        <v>25044.9</v>
      </c>
      <c r="R820" s="890"/>
    </row>
    <row r="821" spans="1:18" s="276" customFormat="1" ht="24">
      <c r="A821" s="908" t="s">
        <v>2857</v>
      </c>
      <c r="B821" s="908" t="s">
        <v>1402</v>
      </c>
      <c r="C821" s="908" t="s">
        <v>96</v>
      </c>
      <c r="D821" s="910" t="s">
        <v>2992</v>
      </c>
      <c r="E821" s="907">
        <v>2800</v>
      </c>
      <c r="F821" s="908" t="s">
        <v>2993</v>
      </c>
      <c r="G821" s="911" t="s">
        <v>2994</v>
      </c>
      <c r="H821" s="910" t="s">
        <v>2995</v>
      </c>
      <c r="I821" s="911" t="s">
        <v>1420</v>
      </c>
      <c r="J821" s="910" t="s">
        <v>2995</v>
      </c>
      <c r="K821" s="909">
        <v>1</v>
      </c>
      <c r="L821" s="909">
        <v>12</v>
      </c>
      <c r="M821" s="917">
        <v>35560.800000000003</v>
      </c>
      <c r="N821" s="908">
        <v>1</v>
      </c>
      <c r="O821" s="908"/>
      <c r="P821" s="917">
        <v>4060.01</v>
      </c>
      <c r="R821" s="890"/>
    </row>
    <row r="822" spans="1:18" s="276" customFormat="1" ht="24">
      <c r="A822" s="908" t="s">
        <v>2857</v>
      </c>
      <c r="B822" s="908" t="s">
        <v>1402</v>
      </c>
      <c r="C822" s="908" t="s">
        <v>96</v>
      </c>
      <c r="D822" s="910" t="s">
        <v>2996</v>
      </c>
      <c r="E822" s="907">
        <v>4000</v>
      </c>
      <c r="F822" s="908" t="s">
        <v>2993</v>
      </c>
      <c r="G822" s="911" t="s">
        <v>2994</v>
      </c>
      <c r="H822" s="910" t="s">
        <v>2995</v>
      </c>
      <c r="I822" s="911" t="s">
        <v>1420</v>
      </c>
      <c r="J822" s="910" t="s">
        <v>2995</v>
      </c>
      <c r="K822" s="909">
        <v>1</v>
      </c>
      <c r="L822" s="909">
        <v>1</v>
      </c>
      <c r="M822" s="917">
        <v>4713.3999999999996</v>
      </c>
      <c r="N822" s="908">
        <v>1</v>
      </c>
      <c r="O822" s="908">
        <v>6</v>
      </c>
      <c r="P822" s="917">
        <v>25044.9</v>
      </c>
      <c r="R822" s="890"/>
    </row>
    <row r="823" spans="1:18" s="276" customFormat="1" ht="15.95" customHeight="1">
      <c r="A823" s="908" t="s">
        <v>2857</v>
      </c>
      <c r="B823" s="908" t="s">
        <v>1402</v>
      </c>
      <c r="C823" s="908" t="s">
        <v>96</v>
      </c>
      <c r="D823" s="910" t="s">
        <v>2479</v>
      </c>
      <c r="E823" s="907">
        <v>3000</v>
      </c>
      <c r="F823" s="908" t="s">
        <v>2997</v>
      </c>
      <c r="G823" s="911" t="s">
        <v>2998</v>
      </c>
      <c r="H823" s="910" t="s">
        <v>2999</v>
      </c>
      <c r="I823" s="911" t="s">
        <v>1420</v>
      </c>
      <c r="J823" s="910" t="s">
        <v>2999</v>
      </c>
      <c r="K823" s="909">
        <v>1</v>
      </c>
      <c r="L823" s="909">
        <v>2</v>
      </c>
      <c r="M823" s="917">
        <v>11306.87</v>
      </c>
      <c r="N823" s="908">
        <v>1</v>
      </c>
      <c r="O823" s="908"/>
      <c r="P823" s="917">
        <v>0</v>
      </c>
      <c r="R823" s="890"/>
    </row>
    <row r="824" spans="1:18" s="276" customFormat="1" ht="36">
      <c r="A824" s="908" t="s">
        <v>2857</v>
      </c>
      <c r="B824" s="908" t="s">
        <v>1402</v>
      </c>
      <c r="C824" s="908" t="s">
        <v>96</v>
      </c>
      <c r="D824" s="910" t="s">
        <v>3000</v>
      </c>
      <c r="E824" s="907">
        <v>6000</v>
      </c>
      <c r="F824" s="908" t="s">
        <v>3001</v>
      </c>
      <c r="G824" s="911" t="s">
        <v>3002</v>
      </c>
      <c r="H824" s="910" t="s">
        <v>3003</v>
      </c>
      <c r="I824" s="911" t="s">
        <v>2863</v>
      </c>
      <c r="J824" s="910" t="s">
        <v>3003</v>
      </c>
      <c r="K824" s="909">
        <v>1</v>
      </c>
      <c r="L824" s="909">
        <v>12</v>
      </c>
      <c r="M824" s="917">
        <v>73960.800000000003</v>
      </c>
      <c r="N824" s="908">
        <v>1</v>
      </c>
      <c r="O824" s="908">
        <v>6</v>
      </c>
      <c r="P824" s="917">
        <v>37044.9</v>
      </c>
      <c r="R824" s="890"/>
    </row>
    <row r="825" spans="1:18" s="276" customFormat="1" ht="15.95" customHeight="1">
      <c r="A825" s="908" t="s">
        <v>2857</v>
      </c>
      <c r="B825" s="908" t="s">
        <v>2858</v>
      </c>
      <c r="C825" s="908" t="s">
        <v>96</v>
      </c>
      <c r="D825" s="910" t="s">
        <v>2864</v>
      </c>
      <c r="E825" s="907">
        <v>1700</v>
      </c>
      <c r="F825" s="908" t="s">
        <v>3004</v>
      </c>
      <c r="G825" s="911" t="s">
        <v>3005</v>
      </c>
      <c r="H825" s="910" t="s">
        <v>3006</v>
      </c>
      <c r="I825" s="911"/>
      <c r="J825" s="910" t="s">
        <v>3006</v>
      </c>
      <c r="K825" s="909">
        <v>1</v>
      </c>
      <c r="L825" s="909">
        <v>12</v>
      </c>
      <c r="M825" s="917">
        <v>22360.799999999999</v>
      </c>
      <c r="N825" s="908">
        <v>1</v>
      </c>
      <c r="O825" s="908">
        <v>6</v>
      </c>
      <c r="P825" s="917">
        <v>11244.9</v>
      </c>
      <c r="R825" s="890"/>
    </row>
    <row r="826" spans="1:18" s="276" customFormat="1" ht="15.95" customHeight="1">
      <c r="A826" s="908" t="s">
        <v>2857</v>
      </c>
      <c r="B826" s="908" t="s">
        <v>2858</v>
      </c>
      <c r="C826" s="908" t="s">
        <v>96</v>
      </c>
      <c r="D826" s="910" t="s">
        <v>2977</v>
      </c>
      <c r="E826" s="907">
        <v>1000</v>
      </c>
      <c r="F826" s="908" t="s">
        <v>3007</v>
      </c>
      <c r="G826" s="911" t="s">
        <v>3008</v>
      </c>
      <c r="H826" s="910" t="s">
        <v>2867</v>
      </c>
      <c r="I826" s="911"/>
      <c r="J826" s="910" t="s">
        <v>2867</v>
      </c>
      <c r="K826" s="909">
        <v>1</v>
      </c>
      <c r="L826" s="909">
        <v>12</v>
      </c>
      <c r="M826" s="917">
        <v>13960.8</v>
      </c>
      <c r="N826" s="908">
        <v>1</v>
      </c>
      <c r="O826" s="908">
        <v>6</v>
      </c>
      <c r="P826" s="917">
        <v>7044.9</v>
      </c>
      <c r="R826" s="890"/>
    </row>
    <row r="827" spans="1:18" s="276" customFormat="1" ht="15.95" customHeight="1">
      <c r="A827" s="908" t="s">
        <v>2857</v>
      </c>
      <c r="B827" s="908" t="s">
        <v>1402</v>
      </c>
      <c r="C827" s="908" t="s">
        <v>96</v>
      </c>
      <c r="D827" s="910" t="s">
        <v>3009</v>
      </c>
      <c r="E827" s="907">
        <v>7800</v>
      </c>
      <c r="F827" s="908" t="s">
        <v>3010</v>
      </c>
      <c r="G827" s="911" t="s">
        <v>3011</v>
      </c>
      <c r="H827" s="910" t="s">
        <v>1504</v>
      </c>
      <c r="I827" s="911" t="s">
        <v>2863</v>
      </c>
      <c r="J827" s="910" t="s">
        <v>1504</v>
      </c>
      <c r="K827" s="909">
        <v>1</v>
      </c>
      <c r="L827" s="909">
        <v>12</v>
      </c>
      <c r="M827" s="917">
        <v>95560.8</v>
      </c>
      <c r="N827" s="908">
        <v>1</v>
      </c>
      <c r="O827" s="908">
        <v>6</v>
      </c>
      <c r="P827" s="917">
        <v>47844.9</v>
      </c>
      <c r="R827" s="890"/>
    </row>
    <row r="828" spans="1:18" s="276" customFormat="1" ht="24">
      <c r="A828" s="908" t="s">
        <v>2857</v>
      </c>
      <c r="B828" s="908" t="s">
        <v>2964</v>
      </c>
      <c r="C828" s="908" t="s">
        <v>96</v>
      </c>
      <c r="D828" s="910" t="s">
        <v>2917</v>
      </c>
      <c r="E828" s="907">
        <v>4500</v>
      </c>
      <c r="F828" s="908" t="s">
        <v>3012</v>
      </c>
      <c r="G828" s="911" t="s">
        <v>3013</v>
      </c>
      <c r="H828" s="910" t="s">
        <v>3014</v>
      </c>
      <c r="I828" s="911" t="s">
        <v>2863</v>
      </c>
      <c r="J828" s="910" t="s">
        <v>3014</v>
      </c>
      <c r="K828" s="909">
        <v>1</v>
      </c>
      <c r="L828" s="909">
        <v>2</v>
      </c>
      <c r="M828" s="917">
        <v>16952.7</v>
      </c>
      <c r="N828" s="908">
        <v>1</v>
      </c>
      <c r="O828" s="908"/>
      <c r="P828" s="917">
        <v>0</v>
      </c>
      <c r="R828" s="890"/>
    </row>
    <row r="829" spans="1:18" s="276" customFormat="1" ht="24">
      <c r="A829" s="908" t="s">
        <v>2857</v>
      </c>
      <c r="B829" s="908" t="s">
        <v>1402</v>
      </c>
      <c r="C829" s="908" t="s">
        <v>96</v>
      </c>
      <c r="D829" s="910" t="s">
        <v>2884</v>
      </c>
      <c r="E829" s="907">
        <v>2000</v>
      </c>
      <c r="F829" s="908" t="s">
        <v>3015</v>
      </c>
      <c r="G829" s="911" t="s">
        <v>3016</v>
      </c>
      <c r="H829" s="910" t="s">
        <v>3017</v>
      </c>
      <c r="I829" s="911" t="s">
        <v>1420</v>
      </c>
      <c r="J829" s="910" t="s">
        <v>3017</v>
      </c>
      <c r="K829" s="909">
        <v>1</v>
      </c>
      <c r="L829" s="909">
        <v>11</v>
      </c>
      <c r="M829" s="917">
        <v>28227.47</v>
      </c>
      <c r="N829" s="908">
        <v>1</v>
      </c>
      <c r="O829" s="908"/>
      <c r="P829" s="917">
        <v>0</v>
      </c>
      <c r="R829" s="890"/>
    </row>
    <row r="830" spans="1:18" s="276" customFormat="1" ht="15.95" customHeight="1">
      <c r="A830" s="908" t="s">
        <v>2857</v>
      </c>
      <c r="B830" s="908" t="s">
        <v>2858</v>
      </c>
      <c r="C830" s="908" t="s">
        <v>96</v>
      </c>
      <c r="D830" s="910" t="s">
        <v>1533</v>
      </c>
      <c r="E830" s="907">
        <v>5000</v>
      </c>
      <c r="F830" s="908" t="s">
        <v>2997</v>
      </c>
      <c r="G830" s="911" t="s">
        <v>2998</v>
      </c>
      <c r="H830" s="910" t="s">
        <v>2750</v>
      </c>
      <c r="I830" s="911" t="s">
        <v>2863</v>
      </c>
      <c r="J830" s="910" t="s">
        <v>2750</v>
      </c>
      <c r="K830" s="909">
        <v>1</v>
      </c>
      <c r="L830" s="909">
        <v>9</v>
      </c>
      <c r="M830" s="917">
        <v>46320.6</v>
      </c>
      <c r="N830" s="908">
        <v>1</v>
      </c>
      <c r="O830" s="908">
        <v>6</v>
      </c>
      <c r="P830" s="917">
        <v>31044.9</v>
      </c>
      <c r="R830" s="890"/>
    </row>
    <row r="831" spans="1:18" s="276" customFormat="1" ht="15.95" customHeight="1">
      <c r="A831" s="908" t="s">
        <v>2857</v>
      </c>
      <c r="B831" s="908" t="s">
        <v>1402</v>
      </c>
      <c r="C831" s="908" t="s">
        <v>96</v>
      </c>
      <c r="D831" s="910" t="s">
        <v>3018</v>
      </c>
      <c r="E831" s="907">
        <v>2500</v>
      </c>
      <c r="F831" s="908" t="s">
        <v>3019</v>
      </c>
      <c r="G831" s="911" t="s">
        <v>3020</v>
      </c>
      <c r="H831" s="910" t="s">
        <v>3021</v>
      </c>
      <c r="I831" s="911"/>
      <c r="J831" s="910" t="s">
        <v>3021</v>
      </c>
      <c r="K831" s="909">
        <v>1</v>
      </c>
      <c r="L831" s="909">
        <v>11</v>
      </c>
      <c r="M831" s="917">
        <v>33377.47</v>
      </c>
      <c r="N831" s="908">
        <v>1</v>
      </c>
      <c r="O831" s="908"/>
      <c r="P831" s="917">
        <v>0</v>
      </c>
      <c r="R831" s="890"/>
    </row>
    <row r="832" spans="1:18" s="276" customFormat="1" ht="15.95" customHeight="1">
      <c r="A832" s="908" t="s">
        <v>2857</v>
      </c>
      <c r="B832" s="908" t="s">
        <v>1402</v>
      </c>
      <c r="C832" s="908" t="s">
        <v>96</v>
      </c>
      <c r="D832" s="910" t="s">
        <v>2409</v>
      </c>
      <c r="E832" s="907">
        <v>4000</v>
      </c>
      <c r="F832" s="908" t="s">
        <v>3019</v>
      </c>
      <c r="G832" s="911" t="s">
        <v>3020</v>
      </c>
      <c r="H832" s="910" t="s">
        <v>3021</v>
      </c>
      <c r="I832" s="911"/>
      <c r="J832" s="910" t="s">
        <v>3021</v>
      </c>
      <c r="K832" s="909">
        <v>1</v>
      </c>
      <c r="L832" s="909">
        <v>1</v>
      </c>
      <c r="M832" s="917">
        <v>4413.3999999999996</v>
      </c>
      <c r="N832" s="908">
        <v>1</v>
      </c>
      <c r="O832" s="908">
        <v>6</v>
      </c>
      <c r="P832" s="917">
        <v>25044.9</v>
      </c>
      <c r="R832" s="890"/>
    </row>
    <row r="833" spans="1:18" s="276" customFormat="1" ht="24">
      <c r="A833" s="908" t="s">
        <v>2857</v>
      </c>
      <c r="B833" s="908" t="s">
        <v>1402</v>
      </c>
      <c r="C833" s="908" t="s">
        <v>96</v>
      </c>
      <c r="D833" s="910" t="s">
        <v>3022</v>
      </c>
      <c r="E833" s="907">
        <v>3000</v>
      </c>
      <c r="F833" s="908" t="s">
        <v>3023</v>
      </c>
      <c r="G833" s="911" t="s">
        <v>3024</v>
      </c>
      <c r="H833" s="910" t="s">
        <v>3017</v>
      </c>
      <c r="I833" s="911" t="s">
        <v>1420</v>
      </c>
      <c r="J833" s="910" t="s">
        <v>3017</v>
      </c>
      <c r="K833" s="909">
        <v>1</v>
      </c>
      <c r="L833" s="909">
        <v>5</v>
      </c>
      <c r="M833" s="917">
        <v>18555.400000000001</v>
      </c>
      <c r="N833" s="908">
        <v>1</v>
      </c>
      <c r="O833" s="908"/>
      <c r="P833" s="917">
        <v>0</v>
      </c>
      <c r="R833" s="890"/>
    </row>
    <row r="834" spans="1:18" s="276" customFormat="1" ht="24">
      <c r="A834" s="908" t="s">
        <v>2857</v>
      </c>
      <c r="B834" s="908" t="s">
        <v>2858</v>
      </c>
      <c r="C834" s="908" t="s">
        <v>96</v>
      </c>
      <c r="D834" s="910" t="s">
        <v>3025</v>
      </c>
      <c r="E834" s="907">
        <v>2000</v>
      </c>
      <c r="F834" s="908" t="s">
        <v>3026</v>
      </c>
      <c r="G834" s="911" t="s">
        <v>3027</v>
      </c>
      <c r="H834" s="910" t="s">
        <v>3028</v>
      </c>
      <c r="I834" s="911" t="s">
        <v>2863</v>
      </c>
      <c r="J834" s="910" t="s">
        <v>3028</v>
      </c>
      <c r="K834" s="909">
        <v>1</v>
      </c>
      <c r="L834" s="909">
        <v>11</v>
      </c>
      <c r="M834" s="917">
        <v>26766.350000000002</v>
      </c>
      <c r="N834" s="908">
        <v>1</v>
      </c>
      <c r="O834" s="908"/>
      <c r="P834" s="917">
        <v>0</v>
      </c>
      <c r="R834" s="890"/>
    </row>
    <row r="835" spans="1:18" s="276" customFormat="1" ht="24">
      <c r="A835" s="908" t="s">
        <v>2857</v>
      </c>
      <c r="B835" s="908" t="s">
        <v>2858</v>
      </c>
      <c r="C835" s="908" t="s">
        <v>96</v>
      </c>
      <c r="D835" s="910" t="s">
        <v>3029</v>
      </c>
      <c r="E835" s="907">
        <v>4000</v>
      </c>
      <c r="F835" s="908" t="s">
        <v>3026</v>
      </c>
      <c r="G835" s="911" t="s">
        <v>3027</v>
      </c>
      <c r="H835" s="910" t="s">
        <v>3028</v>
      </c>
      <c r="I835" s="911" t="s">
        <v>2863</v>
      </c>
      <c r="J835" s="910" t="s">
        <v>3028</v>
      </c>
      <c r="K835" s="909">
        <v>1</v>
      </c>
      <c r="L835" s="909">
        <v>1</v>
      </c>
      <c r="M835" s="917">
        <v>4413.3999999999996</v>
      </c>
      <c r="N835" s="908">
        <v>1</v>
      </c>
      <c r="O835" s="908">
        <v>6</v>
      </c>
      <c r="P835" s="917">
        <v>25044.9</v>
      </c>
      <c r="R835" s="890"/>
    </row>
    <row r="836" spans="1:18" s="276" customFormat="1" ht="24">
      <c r="A836" s="908" t="s">
        <v>2857</v>
      </c>
      <c r="B836" s="908" t="s">
        <v>1402</v>
      </c>
      <c r="C836" s="908" t="s">
        <v>96</v>
      </c>
      <c r="D836" s="910" t="s">
        <v>3030</v>
      </c>
      <c r="E836" s="907">
        <v>2500</v>
      </c>
      <c r="F836" s="908" t="s">
        <v>3031</v>
      </c>
      <c r="G836" s="911" t="s">
        <v>3032</v>
      </c>
      <c r="H836" s="910" t="s">
        <v>3033</v>
      </c>
      <c r="I836" s="911" t="s">
        <v>2863</v>
      </c>
      <c r="J836" s="910" t="s">
        <v>3033</v>
      </c>
      <c r="K836" s="909">
        <v>1</v>
      </c>
      <c r="L836" s="909">
        <v>12</v>
      </c>
      <c r="M836" s="917">
        <v>31960.799999999999</v>
      </c>
      <c r="N836" s="908">
        <v>1</v>
      </c>
      <c r="O836" s="908">
        <v>6</v>
      </c>
      <c r="P836" s="917">
        <v>16044.9</v>
      </c>
      <c r="R836" s="890"/>
    </row>
    <row r="837" spans="1:18" s="276" customFormat="1" ht="24">
      <c r="A837" s="908" t="s">
        <v>2857</v>
      </c>
      <c r="B837" s="908" t="s">
        <v>1402</v>
      </c>
      <c r="C837" s="908" t="s">
        <v>96</v>
      </c>
      <c r="D837" s="910" t="s">
        <v>3034</v>
      </c>
      <c r="E837" s="907">
        <v>2000</v>
      </c>
      <c r="F837" s="908" t="s">
        <v>3035</v>
      </c>
      <c r="G837" s="911" t="s">
        <v>3036</v>
      </c>
      <c r="H837" s="910" t="s">
        <v>3037</v>
      </c>
      <c r="I837" s="911" t="s">
        <v>1420</v>
      </c>
      <c r="J837" s="910" t="s">
        <v>3037</v>
      </c>
      <c r="K837" s="909">
        <v>1</v>
      </c>
      <c r="L837" s="909">
        <v>11</v>
      </c>
      <c r="M837" s="917">
        <v>28227.47</v>
      </c>
      <c r="N837" s="908">
        <v>1</v>
      </c>
      <c r="O837" s="908"/>
      <c r="P837" s="917">
        <v>0</v>
      </c>
      <c r="R837" s="890"/>
    </row>
    <row r="838" spans="1:18" s="276" customFormat="1" ht="36">
      <c r="A838" s="908" t="s">
        <v>2857</v>
      </c>
      <c r="B838" s="908" t="s">
        <v>1402</v>
      </c>
      <c r="C838" s="908" t="s">
        <v>96</v>
      </c>
      <c r="D838" s="910" t="s">
        <v>3038</v>
      </c>
      <c r="E838" s="907">
        <v>3200</v>
      </c>
      <c r="F838" s="908" t="s">
        <v>3039</v>
      </c>
      <c r="G838" s="911" t="s">
        <v>3040</v>
      </c>
      <c r="H838" s="910" t="s">
        <v>3041</v>
      </c>
      <c r="I838" s="911"/>
      <c r="J838" s="910" t="s">
        <v>3041</v>
      </c>
      <c r="K838" s="909">
        <v>1</v>
      </c>
      <c r="L838" s="909">
        <v>9</v>
      </c>
      <c r="M838" s="917">
        <v>37887.53</v>
      </c>
      <c r="N838" s="908">
        <v>1</v>
      </c>
      <c r="O838" s="908"/>
      <c r="P838" s="917">
        <v>0</v>
      </c>
      <c r="R838" s="890"/>
    </row>
    <row r="839" spans="1:18" s="276" customFormat="1" ht="15.95" customHeight="1">
      <c r="A839" s="908" t="s">
        <v>2857</v>
      </c>
      <c r="B839" s="908" t="s">
        <v>2858</v>
      </c>
      <c r="C839" s="908" t="s">
        <v>96</v>
      </c>
      <c r="D839" s="910" t="s">
        <v>3042</v>
      </c>
      <c r="E839" s="907">
        <v>2000</v>
      </c>
      <c r="F839" s="908" t="s">
        <v>3043</v>
      </c>
      <c r="G839" s="911" t="s">
        <v>3044</v>
      </c>
      <c r="H839" s="910" t="s">
        <v>2963</v>
      </c>
      <c r="I839" s="911" t="s">
        <v>1420</v>
      </c>
      <c r="J839" s="910" t="s">
        <v>2963</v>
      </c>
      <c r="K839" s="909">
        <v>1</v>
      </c>
      <c r="L839" s="909">
        <v>9</v>
      </c>
      <c r="M839" s="917">
        <v>19320.599999999999</v>
      </c>
      <c r="N839" s="908">
        <v>1</v>
      </c>
      <c r="O839" s="908"/>
      <c r="P839" s="917">
        <v>0</v>
      </c>
      <c r="R839" s="890"/>
    </row>
    <row r="840" spans="1:18" s="276" customFormat="1" ht="15.95" customHeight="1">
      <c r="A840" s="908" t="s">
        <v>2857</v>
      </c>
      <c r="B840" s="908" t="s">
        <v>2858</v>
      </c>
      <c r="C840" s="908" t="s">
        <v>96</v>
      </c>
      <c r="D840" s="910" t="s">
        <v>3045</v>
      </c>
      <c r="E840" s="907">
        <v>3800</v>
      </c>
      <c r="F840" s="908" t="s">
        <v>3046</v>
      </c>
      <c r="G840" s="911" t="s">
        <v>3047</v>
      </c>
      <c r="H840" s="910" t="s">
        <v>3048</v>
      </c>
      <c r="I840" s="911"/>
      <c r="J840" s="910" t="s">
        <v>3048</v>
      </c>
      <c r="K840" s="909">
        <v>1</v>
      </c>
      <c r="L840" s="909">
        <v>4</v>
      </c>
      <c r="M840" s="917">
        <v>15953.6</v>
      </c>
      <c r="N840" s="908">
        <v>1</v>
      </c>
      <c r="O840" s="908">
        <v>3</v>
      </c>
      <c r="P840" s="917">
        <v>2166.89</v>
      </c>
      <c r="R840" s="890"/>
    </row>
    <row r="841" spans="1:18" s="276" customFormat="1" ht="15.95" customHeight="1">
      <c r="A841" s="908" t="s">
        <v>2857</v>
      </c>
      <c r="B841" s="908" t="s">
        <v>1402</v>
      </c>
      <c r="C841" s="908" t="s">
        <v>96</v>
      </c>
      <c r="D841" s="910" t="s">
        <v>3049</v>
      </c>
      <c r="E841" s="907">
        <v>1800</v>
      </c>
      <c r="F841" s="908" t="s">
        <v>3050</v>
      </c>
      <c r="G841" s="911" t="s">
        <v>3051</v>
      </c>
      <c r="H841" s="910" t="s">
        <v>3052</v>
      </c>
      <c r="I841" s="911"/>
      <c r="J841" s="910" t="s">
        <v>3052</v>
      </c>
      <c r="K841" s="909">
        <v>1</v>
      </c>
      <c r="L841" s="909">
        <v>12</v>
      </c>
      <c r="M841" s="917">
        <v>23560.799999999999</v>
      </c>
      <c r="N841" s="908">
        <v>1</v>
      </c>
      <c r="O841" s="908">
        <v>6</v>
      </c>
      <c r="P841" s="917">
        <v>11844.9</v>
      </c>
      <c r="R841" s="890"/>
    </row>
    <row r="842" spans="1:18" s="276" customFormat="1" ht="15.95" customHeight="1">
      <c r="A842" s="908" t="s">
        <v>2857</v>
      </c>
      <c r="B842" s="908" t="s">
        <v>2858</v>
      </c>
      <c r="C842" s="908" t="s">
        <v>96</v>
      </c>
      <c r="D842" s="910" t="s">
        <v>2981</v>
      </c>
      <c r="E842" s="907">
        <v>1500</v>
      </c>
      <c r="F842" s="908" t="s">
        <v>3053</v>
      </c>
      <c r="G842" s="911" t="s">
        <v>3054</v>
      </c>
      <c r="H842" s="910" t="s">
        <v>2867</v>
      </c>
      <c r="I842" s="911"/>
      <c r="J842" s="910" t="s">
        <v>2867</v>
      </c>
      <c r="K842" s="909">
        <v>1</v>
      </c>
      <c r="L842" s="909">
        <v>12</v>
      </c>
      <c r="M842" s="917">
        <v>19960.8</v>
      </c>
      <c r="N842" s="908">
        <v>1</v>
      </c>
      <c r="O842" s="908">
        <v>6</v>
      </c>
      <c r="P842" s="917">
        <v>10044.9</v>
      </c>
      <c r="R842" s="890"/>
    </row>
    <row r="843" spans="1:18" s="276" customFormat="1" ht="15.95" customHeight="1">
      <c r="A843" s="908" t="s">
        <v>2857</v>
      </c>
      <c r="B843" s="908" t="s">
        <v>1402</v>
      </c>
      <c r="C843" s="908" t="s">
        <v>96</v>
      </c>
      <c r="D843" s="910" t="s">
        <v>3022</v>
      </c>
      <c r="E843" s="907">
        <v>3000</v>
      </c>
      <c r="F843" s="908" t="s">
        <v>3055</v>
      </c>
      <c r="G843" s="911" t="s">
        <v>3056</v>
      </c>
      <c r="H843" s="910" t="s">
        <v>1682</v>
      </c>
      <c r="I843" s="911" t="s">
        <v>2863</v>
      </c>
      <c r="J843" s="910" t="s">
        <v>1682</v>
      </c>
      <c r="K843" s="909">
        <v>1</v>
      </c>
      <c r="L843" s="909">
        <v>5</v>
      </c>
      <c r="M843" s="917">
        <v>15867</v>
      </c>
      <c r="N843" s="908">
        <v>1</v>
      </c>
      <c r="O843" s="908">
        <v>6</v>
      </c>
      <c r="P843" s="917">
        <v>19044.900000000001</v>
      </c>
      <c r="R843" s="890"/>
    </row>
    <row r="844" spans="1:18" s="276" customFormat="1" ht="24">
      <c r="A844" s="908" t="s">
        <v>2857</v>
      </c>
      <c r="B844" s="908" t="s">
        <v>1402</v>
      </c>
      <c r="C844" s="908" t="s">
        <v>96</v>
      </c>
      <c r="D844" s="910" t="s">
        <v>2409</v>
      </c>
      <c r="E844" s="907">
        <v>4000</v>
      </c>
      <c r="F844" s="908" t="s">
        <v>3057</v>
      </c>
      <c r="G844" s="911" t="s">
        <v>3058</v>
      </c>
      <c r="H844" s="910" t="s">
        <v>3059</v>
      </c>
      <c r="I844" s="911" t="s">
        <v>2863</v>
      </c>
      <c r="J844" s="910" t="s">
        <v>3059</v>
      </c>
      <c r="K844" s="909">
        <v>1</v>
      </c>
      <c r="L844" s="909">
        <v>10</v>
      </c>
      <c r="M844" s="917">
        <v>50869.62</v>
      </c>
      <c r="N844" s="908">
        <v>1</v>
      </c>
      <c r="O844" s="908"/>
      <c r="P844" s="917">
        <v>0</v>
      </c>
      <c r="R844" s="890"/>
    </row>
    <row r="845" spans="1:18" s="276" customFormat="1" ht="36">
      <c r="A845" s="908" t="s">
        <v>2857</v>
      </c>
      <c r="B845" s="908" t="s">
        <v>2858</v>
      </c>
      <c r="C845" s="908" t="s">
        <v>96</v>
      </c>
      <c r="D845" s="910" t="s">
        <v>3060</v>
      </c>
      <c r="E845" s="907">
        <v>3000</v>
      </c>
      <c r="F845" s="908" t="s">
        <v>3061</v>
      </c>
      <c r="G845" s="911" t="s">
        <v>3062</v>
      </c>
      <c r="H845" s="910" t="s">
        <v>3063</v>
      </c>
      <c r="I845" s="911" t="s">
        <v>2863</v>
      </c>
      <c r="J845" s="910" t="s">
        <v>3063</v>
      </c>
      <c r="K845" s="909">
        <v>1</v>
      </c>
      <c r="L845" s="909">
        <v>12</v>
      </c>
      <c r="M845" s="917">
        <v>37960.800000000003</v>
      </c>
      <c r="N845" s="908">
        <v>1</v>
      </c>
      <c r="O845" s="908">
        <v>6</v>
      </c>
      <c r="P845" s="917">
        <v>19044.900000000001</v>
      </c>
      <c r="R845" s="890"/>
    </row>
    <row r="846" spans="1:18" s="276" customFormat="1" ht="24">
      <c r="A846" s="908" t="s">
        <v>2857</v>
      </c>
      <c r="B846" s="908" t="s">
        <v>2964</v>
      </c>
      <c r="C846" s="908" t="s">
        <v>96</v>
      </c>
      <c r="D846" s="910" t="s">
        <v>3064</v>
      </c>
      <c r="E846" s="907">
        <v>2000</v>
      </c>
      <c r="F846" s="908" t="s">
        <v>3065</v>
      </c>
      <c r="G846" s="911" t="s">
        <v>3066</v>
      </c>
      <c r="H846" s="910" t="s">
        <v>3067</v>
      </c>
      <c r="I846" s="911" t="s">
        <v>2863</v>
      </c>
      <c r="J846" s="910" t="s">
        <v>3067</v>
      </c>
      <c r="K846" s="909">
        <v>1</v>
      </c>
      <c r="L846" s="909">
        <v>1</v>
      </c>
      <c r="M846" s="917">
        <v>4882.3500000000004</v>
      </c>
      <c r="N846" s="908">
        <v>1</v>
      </c>
      <c r="O846" s="908"/>
      <c r="P846" s="917">
        <v>0</v>
      </c>
      <c r="R846" s="890"/>
    </row>
    <row r="847" spans="1:18" s="276" customFormat="1" ht="15.95" customHeight="1">
      <c r="A847" s="908" t="s">
        <v>2857</v>
      </c>
      <c r="B847" s="908" t="s">
        <v>2858</v>
      </c>
      <c r="C847" s="908" t="s">
        <v>96</v>
      </c>
      <c r="D847" s="910" t="s">
        <v>2960</v>
      </c>
      <c r="E847" s="907">
        <v>4000</v>
      </c>
      <c r="F847" s="908">
        <v>25838262</v>
      </c>
      <c r="G847" s="911" t="s">
        <v>3068</v>
      </c>
      <c r="H847" s="910" t="s">
        <v>2797</v>
      </c>
      <c r="I847" s="911" t="s">
        <v>2863</v>
      </c>
      <c r="J847" s="910" t="s">
        <v>2797</v>
      </c>
      <c r="K847" s="909">
        <v>1</v>
      </c>
      <c r="L847" s="909">
        <v>8</v>
      </c>
      <c r="M847" s="917">
        <v>34320.6</v>
      </c>
      <c r="N847" s="908">
        <v>1</v>
      </c>
      <c r="O847" s="908"/>
      <c r="P847" s="917">
        <v>0</v>
      </c>
      <c r="R847" s="890"/>
    </row>
    <row r="848" spans="1:18" s="276" customFormat="1" ht="24">
      <c r="A848" s="908" t="s">
        <v>2857</v>
      </c>
      <c r="B848" s="908" t="s">
        <v>1402</v>
      </c>
      <c r="C848" s="908" t="s">
        <v>96</v>
      </c>
      <c r="D848" s="910" t="s">
        <v>3069</v>
      </c>
      <c r="E848" s="907">
        <v>8000</v>
      </c>
      <c r="F848" s="908" t="s">
        <v>3070</v>
      </c>
      <c r="G848" s="911" t="s">
        <v>3071</v>
      </c>
      <c r="H848" s="910" t="s">
        <v>3072</v>
      </c>
      <c r="I848" s="911" t="s">
        <v>2863</v>
      </c>
      <c r="J848" s="910" t="s">
        <v>3072</v>
      </c>
      <c r="K848" s="909">
        <v>1</v>
      </c>
      <c r="L848" s="909">
        <v>7</v>
      </c>
      <c r="M848" s="917">
        <v>67007.539999999994</v>
      </c>
      <c r="N848" s="908">
        <v>1</v>
      </c>
      <c r="O848" s="908"/>
      <c r="P848" s="917">
        <v>0</v>
      </c>
      <c r="R848" s="890"/>
    </row>
    <row r="849" spans="1:18" s="276" customFormat="1" ht="15.95" customHeight="1">
      <c r="A849" s="908" t="s">
        <v>2857</v>
      </c>
      <c r="B849" s="908" t="s">
        <v>2858</v>
      </c>
      <c r="C849" s="908" t="s">
        <v>96</v>
      </c>
      <c r="D849" s="910" t="s">
        <v>2953</v>
      </c>
      <c r="E849" s="907">
        <v>2000</v>
      </c>
      <c r="F849" s="908" t="s">
        <v>3073</v>
      </c>
      <c r="G849" s="911" t="s">
        <v>3074</v>
      </c>
      <c r="H849" s="910" t="s">
        <v>2867</v>
      </c>
      <c r="I849" s="911"/>
      <c r="J849" s="910" t="s">
        <v>2867</v>
      </c>
      <c r="K849" s="909">
        <v>1</v>
      </c>
      <c r="L849" s="909">
        <v>12</v>
      </c>
      <c r="M849" s="917">
        <v>25960.799999999999</v>
      </c>
      <c r="N849" s="908">
        <v>1</v>
      </c>
      <c r="O849" s="908">
        <v>6</v>
      </c>
      <c r="P849" s="917">
        <v>13044.9</v>
      </c>
      <c r="R849" s="890"/>
    </row>
    <row r="850" spans="1:18" s="276" customFormat="1" ht="36">
      <c r="A850" s="908" t="s">
        <v>2857</v>
      </c>
      <c r="B850" s="908" t="s">
        <v>1402</v>
      </c>
      <c r="C850" s="908" t="s">
        <v>96</v>
      </c>
      <c r="D850" s="910" t="s">
        <v>3075</v>
      </c>
      <c r="E850" s="907">
        <v>2000</v>
      </c>
      <c r="F850" s="908" t="s">
        <v>3076</v>
      </c>
      <c r="G850" s="911" t="s">
        <v>3077</v>
      </c>
      <c r="H850" s="910" t="s">
        <v>3078</v>
      </c>
      <c r="I850" s="911"/>
      <c r="J850" s="910" t="s">
        <v>3078</v>
      </c>
      <c r="K850" s="909">
        <v>1</v>
      </c>
      <c r="L850" s="909">
        <v>11</v>
      </c>
      <c r="M850" s="917">
        <v>28088.600000000002</v>
      </c>
      <c r="N850" s="908">
        <v>1</v>
      </c>
      <c r="O850" s="908"/>
      <c r="P850" s="917">
        <v>0</v>
      </c>
      <c r="R850" s="890"/>
    </row>
    <row r="851" spans="1:18" s="276" customFormat="1" ht="24">
      <c r="A851" s="908" t="s">
        <v>2857</v>
      </c>
      <c r="B851" s="908" t="s">
        <v>2964</v>
      </c>
      <c r="C851" s="908" t="s">
        <v>96</v>
      </c>
      <c r="D851" s="910" t="s">
        <v>3079</v>
      </c>
      <c r="E851" s="907">
        <v>3000</v>
      </c>
      <c r="F851" s="908" t="s">
        <v>3080</v>
      </c>
      <c r="G851" s="911" t="s">
        <v>3081</v>
      </c>
      <c r="H851" s="910" t="s">
        <v>1682</v>
      </c>
      <c r="I851" s="911" t="s">
        <v>2863</v>
      </c>
      <c r="J851" s="910" t="s">
        <v>1682</v>
      </c>
      <c r="K851" s="909">
        <v>1</v>
      </c>
      <c r="L851" s="909">
        <v>6</v>
      </c>
      <c r="M851" s="917">
        <v>22118.800000000003</v>
      </c>
      <c r="N851" s="908">
        <v>1</v>
      </c>
      <c r="O851" s="908"/>
      <c r="P851" s="917">
        <v>0</v>
      </c>
      <c r="R851" s="890"/>
    </row>
    <row r="852" spans="1:18" s="276" customFormat="1" ht="15.95" customHeight="1">
      <c r="A852" s="908" t="s">
        <v>2857</v>
      </c>
      <c r="B852" s="908" t="s">
        <v>1402</v>
      </c>
      <c r="C852" s="908" t="s">
        <v>96</v>
      </c>
      <c r="D852" s="910" t="s">
        <v>3082</v>
      </c>
      <c r="E852" s="907">
        <v>5500</v>
      </c>
      <c r="F852" s="908" t="s">
        <v>3083</v>
      </c>
      <c r="G852" s="911" t="s">
        <v>3084</v>
      </c>
      <c r="H852" s="910" t="s">
        <v>3085</v>
      </c>
      <c r="I852" s="911" t="s">
        <v>2863</v>
      </c>
      <c r="J852" s="910" t="s">
        <v>3085</v>
      </c>
      <c r="K852" s="909">
        <v>1</v>
      </c>
      <c r="L852" s="909">
        <v>12</v>
      </c>
      <c r="M852" s="917">
        <v>67960.800000000003</v>
      </c>
      <c r="N852" s="908">
        <v>1</v>
      </c>
      <c r="O852" s="908">
        <v>6</v>
      </c>
      <c r="P852" s="917">
        <v>34044.9</v>
      </c>
      <c r="R852" s="890"/>
    </row>
    <row r="853" spans="1:18" s="276" customFormat="1" ht="15.95" customHeight="1">
      <c r="A853" s="908" t="s">
        <v>2857</v>
      </c>
      <c r="B853" s="908" t="s">
        <v>1402</v>
      </c>
      <c r="C853" s="908" t="s">
        <v>96</v>
      </c>
      <c r="D853" s="910" t="s">
        <v>3022</v>
      </c>
      <c r="E853" s="907">
        <v>3000</v>
      </c>
      <c r="F853" s="908" t="s">
        <v>3086</v>
      </c>
      <c r="G853" s="911" t="s">
        <v>3087</v>
      </c>
      <c r="H853" s="910" t="s">
        <v>2914</v>
      </c>
      <c r="I853" s="911" t="s">
        <v>2863</v>
      </c>
      <c r="J853" s="910" t="s">
        <v>2914</v>
      </c>
      <c r="K853" s="909">
        <v>1</v>
      </c>
      <c r="L853" s="909">
        <v>7</v>
      </c>
      <c r="M853" s="917">
        <v>25432.2</v>
      </c>
      <c r="N853" s="908">
        <v>1</v>
      </c>
      <c r="O853" s="908"/>
      <c r="P853" s="917">
        <v>0</v>
      </c>
      <c r="R853" s="890"/>
    </row>
    <row r="854" spans="1:18" s="276" customFormat="1" ht="15.95" customHeight="1">
      <c r="A854" s="908" t="s">
        <v>2857</v>
      </c>
      <c r="B854" s="908" t="s">
        <v>2858</v>
      </c>
      <c r="C854" s="908" t="s">
        <v>96</v>
      </c>
      <c r="D854" s="910" t="s">
        <v>2953</v>
      </c>
      <c r="E854" s="907">
        <v>1700</v>
      </c>
      <c r="F854" s="908" t="s">
        <v>3088</v>
      </c>
      <c r="G854" s="911" t="s">
        <v>3089</v>
      </c>
      <c r="H854" s="910" t="s">
        <v>2867</v>
      </c>
      <c r="I854" s="911"/>
      <c r="J854" s="910" t="s">
        <v>2867</v>
      </c>
      <c r="K854" s="909">
        <v>1</v>
      </c>
      <c r="L854" s="909">
        <v>12</v>
      </c>
      <c r="M854" s="917">
        <v>22360.799999999999</v>
      </c>
      <c r="N854" s="908">
        <v>1</v>
      </c>
      <c r="O854" s="908">
        <v>6</v>
      </c>
      <c r="P854" s="917">
        <v>11244.9</v>
      </c>
      <c r="R854" s="890"/>
    </row>
    <row r="855" spans="1:18" s="276" customFormat="1" ht="24">
      <c r="A855" s="908" t="s">
        <v>2857</v>
      </c>
      <c r="B855" s="908" t="s">
        <v>2964</v>
      </c>
      <c r="C855" s="908" t="s">
        <v>96</v>
      </c>
      <c r="D855" s="910" t="s">
        <v>3090</v>
      </c>
      <c r="E855" s="907">
        <v>5000</v>
      </c>
      <c r="F855" s="908" t="s">
        <v>3091</v>
      </c>
      <c r="G855" s="911" t="s">
        <v>3092</v>
      </c>
      <c r="H855" s="910" t="s">
        <v>3093</v>
      </c>
      <c r="I855" s="911" t="s">
        <v>2863</v>
      </c>
      <c r="J855" s="910" t="s">
        <v>3093</v>
      </c>
      <c r="K855" s="909">
        <v>1</v>
      </c>
      <c r="L855" s="909">
        <v>4</v>
      </c>
      <c r="M855" s="917">
        <v>23853.119999999999</v>
      </c>
      <c r="N855" s="908">
        <v>1</v>
      </c>
      <c r="O855" s="908"/>
      <c r="P855" s="917">
        <v>0</v>
      </c>
      <c r="R855" s="890"/>
    </row>
    <row r="856" spans="1:18" s="276" customFormat="1" ht="24">
      <c r="A856" s="908" t="s">
        <v>2857</v>
      </c>
      <c r="B856" s="908" t="s">
        <v>1402</v>
      </c>
      <c r="C856" s="908" t="s">
        <v>96</v>
      </c>
      <c r="D856" s="910" t="s">
        <v>1539</v>
      </c>
      <c r="E856" s="907">
        <v>3500</v>
      </c>
      <c r="F856" s="908" t="s">
        <v>3094</v>
      </c>
      <c r="G856" s="911" t="s">
        <v>3095</v>
      </c>
      <c r="H856" s="910" t="s">
        <v>3096</v>
      </c>
      <c r="I856" s="911" t="s">
        <v>1420</v>
      </c>
      <c r="J856" s="910" t="s">
        <v>3096</v>
      </c>
      <c r="K856" s="909">
        <v>1</v>
      </c>
      <c r="L856" s="909">
        <v>12</v>
      </c>
      <c r="M856" s="917">
        <v>43960.800000000003</v>
      </c>
      <c r="N856" s="908">
        <v>1</v>
      </c>
      <c r="O856" s="908">
        <v>6</v>
      </c>
      <c r="P856" s="917">
        <v>22044.9</v>
      </c>
      <c r="R856" s="890"/>
    </row>
    <row r="857" spans="1:18" s="276" customFormat="1" ht="24">
      <c r="A857" s="908" t="s">
        <v>2857</v>
      </c>
      <c r="B857" s="908" t="s">
        <v>1402</v>
      </c>
      <c r="C857" s="908" t="s">
        <v>96</v>
      </c>
      <c r="D857" s="910" t="s">
        <v>3097</v>
      </c>
      <c r="E857" s="907">
        <v>4500</v>
      </c>
      <c r="F857" s="908" t="s">
        <v>3098</v>
      </c>
      <c r="G857" s="911" t="s">
        <v>3099</v>
      </c>
      <c r="H857" s="910" t="s">
        <v>2409</v>
      </c>
      <c r="I857" s="911" t="s">
        <v>2863</v>
      </c>
      <c r="J857" s="910" t="s">
        <v>2409</v>
      </c>
      <c r="K857" s="909">
        <v>1</v>
      </c>
      <c r="L857" s="909">
        <v>9</v>
      </c>
      <c r="M857" s="917">
        <v>46771.5</v>
      </c>
      <c r="N857" s="908">
        <v>1</v>
      </c>
      <c r="O857" s="908"/>
      <c r="P857" s="917">
        <v>0</v>
      </c>
      <c r="R857" s="890"/>
    </row>
    <row r="858" spans="1:18" s="276" customFormat="1" ht="15.95" customHeight="1">
      <c r="A858" s="908" t="s">
        <v>2857</v>
      </c>
      <c r="B858" s="908" t="s">
        <v>1402</v>
      </c>
      <c r="C858" s="908" t="s">
        <v>96</v>
      </c>
      <c r="D858" s="910" t="s">
        <v>2977</v>
      </c>
      <c r="E858" s="907">
        <v>1000</v>
      </c>
      <c r="F858" s="908" t="s">
        <v>3100</v>
      </c>
      <c r="G858" s="911" t="s">
        <v>3101</v>
      </c>
      <c r="H858" s="910" t="s">
        <v>2867</v>
      </c>
      <c r="I858" s="911"/>
      <c r="J858" s="910" t="s">
        <v>2867</v>
      </c>
      <c r="K858" s="909">
        <v>1</v>
      </c>
      <c r="L858" s="909">
        <v>12</v>
      </c>
      <c r="M858" s="917">
        <v>13960.8</v>
      </c>
      <c r="N858" s="908">
        <v>1</v>
      </c>
      <c r="O858" s="908">
        <v>6</v>
      </c>
      <c r="P858" s="917">
        <v>7044.9</v>
      </c>
      <c r="R858" s="890"/>
    </row>
    <row r="859" spans="1:18" s="276" customFormat="1" ht="15.95" customHeight="1">
      <c r="A859" s="908" t="s">
        <v>2857</v>
      </c>
      <c r="B859" s="908" t="s">
        <v>1402</v>
      </c>
      <c r="C859" s="908" t="s">
        <v>96</v>
      </c>
      <c r="D859" s="910" t="s">
        <v>2977</v>
      </c>
      <c r="E859" s="907">
        <v>950</v>
      </c>
      <c r="F859" s="908" t="s">
        <v>3102</v>
      </c>
      <c r="G859" s="911" t="s">
        <v>3103</v>
      </c>
      <c r="H859" s="910" t="s">
        <v>2867</v>
      </c>
      <c r="I859" s="911"/>
      <c r="J859" s="910" t="s">
        <v>2867</v>
      </c>
      <c r="K859" s="909">
        <v>1</v>
      </c>
      <c r="L859" s="909">
        <v>12</v>
      </c>
      <c r="M859" s="917">
        <v>13360.8</v>
      </c>
      <c r="N859" s="908">
        <v>1</v>
      </c>
      <c r="O859" s="908">
        <v>6</v>
      </c>
      <c r="P859" s="917">
        <v>6744.9</v>
      </c>
      <c r="R859" s="890"/>
    </row>
    <row r="860" spans="1:18" s="276" customFormat="1" ht="15.95" customHeight="1">
      <c r="A860" s="908" t="s">
        <v>2857</v>
      </c>
      <c r="B860" s="908" t="s">
        <v>2858</v>
      </c>
      <c r="C860" s="908" t="s">
        <v>96</v>
      </c>
      <c r="D860" s="910" t="s">
        <v>3104</v>
      </c>
      <c r="E860" s="907">
        <v>6000</v>
      </c>
      <c r="F860" s="908">
        <v>33259749</v>
      </c>
      <c r="G860" s="911" t="s">
        <v>3105</v>
      </c>
      <c r="H860" s="910" t="s">
        <v>3106</v>
      </c>
      <c r="I860" s="911" t="s">
        <v>2863</v>
      </c>
      <c r="J860" s="910" t="s">
        <v>3106</v>
      </c>
      <c r="K860" s="909">
        <v>1</v>
      </c>
      <c r="L860" s="909">
        <v>12</v>
      </c>
      <c r="M860" s="917">
        <v>73960.800000000003</v>
      </c>
      <c r="N860" s="908">
        <v>1</v>
      </c>
      <c r="O860" s="908">
        <v>6</v>
      </c>
      <c r="P860" s="917">
        <v>37044.9</v>
      </c>
      <c r="R860" s="890"/>
    </row>
    <row r="861" spans="1:18" s="276" customFormat="1" ht="15.95" customHeight="1">
      <c r="A861" s="908" t="s">
        <v>2857</v>
      </c>
      <c r="B861" s="908" t="s">
        <v>2858</v>
      </c>
      <c r="C861" s="908" t="s">
        <v>96</v>
      </c>
      <c r="D861" s="910" t="s">
        <v>2977</v>
      </c>
      <c r="E861" s="907">
        <v>1000</v>
      </c>
      <c r="F861" s="908" t="s">
        <v>3107</v>
      </c>
      <c r="G861" s="911" t="s">
        <v>3108</v>
      </c>
      <c r="H861" s="910" t="s">
        <v>2867</v>
      </c>
      <c r="I861" s="911"/>
      <c r="J861" s="910" t="s">
        <v>2867</v>
      </c>
      <c r="K861" s="909">
        <v>1</v>
      </c>
      <c r="L861" s="909">
        <v>1</v>
      </c>
      <c r="M861" s="917">
        <v>1413.4</v>
      </c>
      <c r="N861" s="908">
        <v>1</v>
      </c>
      <c r="O861" s="908"/>
      <c r="P861" s="917">
        <v>0</v>
      </c>
      <c r="R861" s="890"/>
    </row>
    <row r="862" spans="1:18" s="276" customFormat="1" ht="15.95" customHeight="1">
      <c r="A862" s="908" t="s">
        <v>2857</v>
      </c>
      <c r="B862" s="908" t="s">
        <v>1402</v>
      </c>
      <c r="C862" s="908" t="s">
        <v>96</v>
      </c>
      <c r="D862" s="910" t="s">
        <v>3109</v>
      </c>
      <c r="E862" s="907">
        <v>7000</v>
      </c>
      <c r="F862" s="908" t="s">
        <v>3110</v>
      </c>
      <c r="G862" s="911" t="s">
        <v>3111</v>
      </c>
      <c r="H862" s="910" t="s">
        <v>3093</v>
      </c>
      <c r="I862" s="911" t="s">
        <v>2863</v>
      </c>
      <c r="J862" s="910" t="s">
        <v>3093</v>
      </c>
      <c r="K862" s="909">
        <v>1</v>
      </c>
      <c r="L862" s="909">
        <v>5</v>
      </c>
      <c r="M862" s="917">
        <v>35867</v>
      </c>
      <c r="N862" s="908">
        <v>1</v>
      </c>
      <c r="O862" s="908">
        <v>6</v>
      </c>
      <c r="P862" s="917">
        <v>39908.239999999998</v>
      </c>
      <c r="R862" s="890"/>
    </row>
    <row r="863" spans="1:18" s="276" customFormat="1" ht="15.95" customHeight="1">
      <c r="A863" s="908" t="s">
        <v>2857</v>
      </c>
      <c r="B863" s="908" t="s">
        <v>2858</v>
      </c>
      <c r="C863" s="908" t="s">
        <v>96</v>
      </c>
      <c r="D863" s="910" t="s">
        <v>3112</v>
      </c>
      <c r="E863" s="907">
        <v>3200</v>
      </c>
      <c r="F863" s="908" t="s">
        <v>3113</v>
      </c>
      <c r="G863" s="911" t="s">
        <v>3114</v>
      </c>
      <c r="H863" s="910" t="s">
        <v>3115</v>
      </c>
      <c r="I863" s="911"/>
      <c r="J863" s="910" t="s">
        <v>3115</v>
      </c>
      <c r="K863" s="909">
        <v>1</v>
      </c>
      <c r="L863" s="909">
        <v>12</v>
      </c>
      <c r="M863" s="917">
        <v>40360.800000000003</v>
      </c>
      <c r="N863" s="908">
        <v>1</v>
      </c>
      <c r="O863" s="908">
        <v>6</v>
      </c>
      <c r="P863" s="917">
        <v>20244.900000000001</v>
      </c>
      <c r="R863" s="890"/>
    </row>
    <row r="864" spans="1:18" s="276" customFormat="1" ht="15.95" customHeight="1">
      <c r="A864" s="908" t="s">
        <v>2857</v>
      </c>
      <c r="B864" s="908" t="s">
        <v>2858</v>
      </c>
      <c r="C864" s="908" t="s">
        <v>96</v>
      </c>
      <c r="D864" s="910" t="s">
        <v>2864</v>
      </c>
      <c r="E864" s="907">
        <v>1700</v>
      </c>
      <c r="F864" s="908" t="s">
        <v>3116</v>
      </c>
      <c r="G864" s="911" t="s">
        <v>3117</v>
      </c>
      <c r="H864" s="910" t="s">
        <v>3118</v>
      </c>
      <c r="I864" s="911"/>
      <c r="J864" s="910" t="s">
        <v>3118</v>
      </c>
      <c r="K864" s="909">
        <v>1</v>
      </c>
      <c r="L864" s="909">
        <v>3</v>
      </c>
      <c r="M864" s="917">
        <v>5740.2</v>
      </c>
      <c r="N864" s="908">
        <v>1</v>
      </c>
      <c r="O864" s="908"/>
      <c r="P864" s="917">
        <v>0</v>
      </c>
      <c r="R864" s="890"/>
    </row>
    <row r="865" spans="1:18" s="276" customFormat="1" ht="15.95" customHeight="1">
      <c r="A865" s="908" t="s">
        <v>2857</v>
      </c>
      <c r="B865" s="908" t="s">
        <v>2858</v>
      </c>
      <c r="C865" s="908" t="s">
        <v>96</v>
      </c>
      <c r="D865" s="910" t="s">
        <v>2864</v>
      </c>
      <c r="E865" s="907">
        <v>1700</v>
      </c>
      <c r="F865" s="908" t="s">
        <v>3119</v>
      </c>
      <c r="G865" s="911" t="s">
        <v>3120</v>
      </c>
      <c r="H865" s="910" t="s">
        <v>2867</v>
      </c>
      <c r="I865" s="911"/>
      <c r="J865" s="910" t="s">
        <v>2867</v>
      </c>
      <c r="K865" s="909">
        <v>1</v>
      </c>
      <c r="L865" s="909">
        <v>12</v>
      </c>
      <c r="M865" s="917">
        <v>22360.799999999999</v>
      </c>
      <c r="N865" s="908">
        <v>1</v>
      </c>
      <c r="O865" s="908">
        <v>6</v>
      </c>
      <c r="P865" s="917">
        <v>11244.9</v>
      </c>
      <c r="R865" s="890"/>
    </row>
    <row r="866" spans="1:18" s="276" customFormat="1" ht="24">
      <c r="A866" s="908" t="s">
        <v>2857</v>
      </c>
      <c r="B866" s="908" t="s">
        <v>1402</v>
      </c>
      <c r="C866" s="908" t="s">
        <v>96</v>
      </c>
      <c r="D866" s="910" t="s">
        <v>2884</v>
      </c>
      <c r="E866" s="907">
        <v>2000</v>
      </c>
      <c r="F866" s="908" t="s">
        <v>3121</v>
      </c>
      <c r="G866" s="911" t="s">
        <v>3122</v>
      </c>
      <c r="H866" s="910" t="s">
        <v>3017</v>
      </c>
      <c r="I866" s="911" t="s">
        <v>1420</v>
      </c>
      <c r="J866" s="910" t="s">
        <v>3017</v>
      </c>
      <c r="K866" s="909">
        <v>1</v>
      </c>
      <c r="L866" s="909">
        <v>11</v>
      </c>
      <c r="M866" s="917">
        <v>28221.910000000003</v>
      </c>
      <c r="N866" s="908">
        <v>1</v>
      </c>
      <c r="O866" s="908"/>
      <c r="P866" s="917">
        <v>0</v>
      </c>
      <c r="R866" s="890"/>
    </row>
    <row r="867" spans="1:18" s="276" customFormat="1" ht="15.95" customHeight="1">
      <c r="A867" s="908" t="s">
        <v>2857</v>
      </c>
      <c r="B867" s="908" t="s">
        <v>2858</v>
      </c>
      <c r="C867" s="908" t="s">
        <v>96</v>
      </c>
      <c r="D867" s="910" t="s">
        <v>3123</v>
      </c>
      <c r="E867" s="907">
        <v>1700</v>
      </c>
      <c r="F867" s="908" t="s">
        <v>3124</v>
      </c>
      <c r="G867" s="911" t="s">
        <v>3125</v>
      </c>
      <c r="H867" s="910" t="s">
        <v>2867</v>
      </c>
      <c r="I867" s="911"/>
      <c r="J867" s="910" t="s">
        <v>2867</v>
      </c>
      <c r="K867" s="909">
        <v>1</v>
      </c>
      <c r="L867" s="909">
        <v>9</v>
      </c>
      <c r="M867" s="917">
        <v>18315.939999999999</v>
      </c>
      <c r="N867" s="908">
        <v>1</v>
      </c>
      <c r="O867" s="908"/>
      <c r="P867" s="917">
        <v>0</v>
      </c>
      <c r="R867" s="890"/>
    </row>
    <row r="868" spans="1:18" s="276" customFormat="1" ht="15.95" customHeight="1">
      <c r="A868" s="908" t="s">
        <v>2857</v>
      </c>
      <c r="B868" s="908" t="s">
        <v>1402</v>
      </c>
      <c r="C868" s="908" t="s">
        <v>96</v>
      </c>
      <c r="D868" s="910" t="s">
        <v>1539</v>
      </c>
      <c r="E868" s="907">
        <v>1800</v>
      </c>
      <c r="F868" s="908" t="s">
        <v>3126</v>
      </c>
      <c r="G868" s="911" t="s">
        <v>3127</v>
      </c>
      <c r="H868" s="910" t="s">
        <v>2867</v>
      </c>
      <c r="I868" s="911"/>
      <c r="J868" s="910" t="s">
        <v>2867</v>
      </c>
      <c r="K868" s="909">
        <v>1</v>
      </c>
      <c r="L868" s="909">
        <v>12</v>
      </c>
      <c r="M868" s="917">
        <v>23560.799999999999</v>
      </c>
      <c r="N868" s="908">
        <v>1</v>
      </c>
      <c r="O868" s="908">
        <v>6</v>
      </c>
      <c r="P868" s="917">
        <v>11844.9</v>
      </c>
      <c r="R868" s="890"/>
    </row>
    <row r="869" spans="1:18" s="276" customFormat="1" ht="15.95" customHeight="1">
      <c r="A869" s="908" t="s">
        <v>2857</v>
      </c>
      <c r="B869" s="908" t="s">
        <v>2858</v>
      </c>
      <c r="C869" s="908" t="s">
        <v>96</v>
      </c>
      <c r="D869" s="910" t="s">
        <v>2953</v>
      </c>
      <c r="E869" s="907">
        <v>2000</v>
      </c>
      <c r="F869" s="908" t="s">
        <v>3128</v>
      </c>
      <c r="G869" s="911" t="s">
        <v>3129</v>
      </c>
      <c r="H869" s="910" t="s">
        <v>2867</v>
      </c>
      <c r="I869" s="911"/>
      <c r="J869" s="910" t="s">
        <v>2867</v>
      </c>
      <c r="K869" s="909">
        <v>1</v>
      </c>
      <c r="L869" s="909">
        <v>12</v>
      </c>
      <c r="M869" s="917">
        <v>25960.799999999999</v>
      </c>
      <c r="N869" s="908">
        <v>1</v>
      </c>
      <c r="O869" s="908">
        <v>6</v>
      </c>
      <c r="P869" s="917">
        <v>13044.9</v>
      </c>
      <c r="R869" s="890"/>
    </row>
    <row r="870" spans="1:18" s="276" customFormat="1" ht="15.95" customHeight="1">
      <c r="A870" s="908" t="s">
        <v>2857</v>
      </c>
      <c r="B870" s="908" t="s">
        <v>2858</v>
      </c>
      <c r="C870" s="908" t="s">
        <v>96</v>
      </c>
      <c r="D870" s="910" t="s">
        <v>2953</v>
      </c>
      <c r="E870" s="907">
        <v>2000</v>
      </c>
      <c r="F870" s="908" t="s">
        <v>3130</v>
      </c>
      <c r="G870" s="911" t="s">
        <v>3131</v>
      </c>
      <c r="H870" s="910" t="s">
        <v>2867</v>
      </c>
      <c r="I870" s="911"/>
      <c r="J870" s="910" t="s">
        <v>2867</v>
      </c>
      <c r="K870" s="909">
        <v>1</v>
      </c>
      <c r="L870" s="909">
        <v>12</v>
      </c>
      <c r="M870" s="917">
        <v>25960.799999999999</v>
      </c>
      <c r="N870" s="908">
        <v>1</v>
      </c>
      <c r="O870" s="908">
        <v>6</v>
      </c>
      <c r="P870" s="917">
        <v>13044.9</v>
      </c>
      <c r="R870" s="890"/>
    </row>
    <row r="871" spans="1:18" s="276" customFormat="1" ht="15.95" customHeight="1">
      <c r="A871" s="908" t="s">
        <v>2857</v>
      </c>
      <c r="B871" s="908" t="s">
        <v>2858</v>
      </c>
      <c r="C871" s="908" t="s">
        <v>96</v>
      </c>
      <c r="D871" s="910" t="s">
        <v>1563</v>
      </c>
      <c r="E871" s="907">
        <v>2200</v>
      </c>
      <c r="F871" s="908" t="s">
        <v>3132</v>
      </c>
      <c r="G871" s="911" t="s">
        <v>3133</v>
      </c>
      <c r="H871" s="910" t="s">
        <v>3048</v>
      </c>
      <c r="I871" s="911"/>
      <c r="J871" s="910" t="s">
        <v>3048</v>
      </c>
      <c r="K871" s="909">
        <v>1</v>
      </c>
      <c r="L871" s="909">
        <v>12</v>
      </c>
      <c r="M871" s="917">
        <v>28360.799999999999</v>
      </c>
      <c r="N871" s="908">
        <v>1</v>
      </c>
      <c r="O871" s="908">
        <v>6</v>
      </c>
      <c r="P871" s="917">
        <v>14244.9</v>
      </c>
      <c r="R871" s="890"/>
    </row>
    <row r="872" spans="1:18" s="276" customFormat="1" ht="24">
      <c r="A872" s="908" t="s">
        <v>2857</v>
      </c>
      <c r="B872" s="908" t="s">
        <v>2858</v>
      </c>
      <c r="C872" s="908" t="s">
        <v>96</v>
      </c>
      <c r="D872" s="910" t="s">
        <v>2593</v>
      </c>
      <c r="E872" s="907">
        <v>5000</v>
      </c>
      <c r="F872" s="908" t="s">
        <v>3134</v>
      </c>
      <c r="G872" s="911" t="s">
        <v>3135</v>
      </c>
      <c r="H872" s="910" t="s">
        <v>3136</v>
      </c>
      <c r="I872" s="911" t="s">
        <v>2863</v>
      </c>
      <c r="J872" s="910" t="s">
        <v>3136</v>
      </c>
      <c r="K872" s="909">
        <v>1</v>
      </c>
      <c r="L872" s="909">
        <v>12</v>
      </c>
      <c r="M872" s="917">
        <v>61960.800000000003</v>
      </c>
      <c r="N872" s="908">
        <v>1</v>
      </c>
      <c r="O872" s="908">
        <v>6</v>
      </c>
      <c r="P872" s="917">
        <v>31044.9</v>
      </c>
      <c r="R872" s="890"/>
    </row>
    <row r="873" spans="1:18" s="276" customFormat="1" ht="36">
      <c r="A873" s="908" t="s">
        <v>2857</v>
      </c>
      <c r="B873" s="908" t="s">
        <v>1402</v>
      </c>
      <c r="C873" s="908" t="s">
        <v>96</v>
      </c>
      <c r="D873" s="910" t="s">
        <v>3137</v>
      </c>
      <c r="E873" s="907">
        <v>1800</v>
      </c>
      <c r="F873" s="908">
        <v>41203854</v>
      </c>
      <c r="G873" s="911" t="s">
        <v>3138</v>
      </c>
      <c r="H873" s="910" t="s">
        <v>3139</v>
      </c>
      <c r="I873" s="911"/>
      <c r="J873" s="910" t="s">
        <v>3139</v>
      </c>
      <c r="K873" s="909">
        <v>1</v>
      </c>
      <c r="L873" s="909">
        <v>2</v>
      </c>
      <c r="M873" s="917">
        <v>4126.8</v>
      </c>
      <c r="N873" s="908">
        <v>1</v>
      </c>
      <c r="O873" s="908"/>
      <c r="P873" s="917">
        <v>0</v>
      </c>
      <c r="R873" s="890"/>
    </row>
    <row r="874" spans="1:18" s="276" customFormat="1" ht="36">
      <c r="A874" s="908" t="s">
        <v>2857</v>
      </c>
      <c r="B874" s="908" t="s">
        <v>1402</v>
      </c>
      <c r="C874" s="908" t="s">
        <v>96</v>
      </c>
      <c r="D874" s="910" t="s">
        <v>2992</v>
      </c>
      <c r="E874" s="907">
        <v>2800</v>
      </c>
      <c r="F874" s="908">
        <v>41203854</v>
      </c>
      <c r="G874" s="911" t="s">
        <v>3138</v>
      </c>
      <c r="H874" s="910" t="s">
        <v>3139</v>
      </c>
      <c r="I874" s="911"/>
      <c r="J874" s="910" t="s">
        <v>3139</v>
      </c>
      <c r="K874" s="909">
        <v>1</v>
      </c>
      <c r="L874" s="909">
        <v>0</v>
      </c>
      <c r="M874" s="917"/>
      <c r="N874" s="908">
        <v>1</v>
      </c>
      <c r="O874" s="908">
        <v>3</v>
      </c>
      <c r="P874" s="917">
        <v>9444.9</v>
      </c>
      <c r="R874" s="890"/>
    </row>
    <row r="875" spans="1:18" s="276" customFormat="1" ht="15.95" customHeight="1">
      <c r="A875" s="908" t="s">
        <v>2857</v>
      </c>
      <c r="B875" s="908" t="s">
        <v>2858</v>
      </c>
      <c r="C875" s="908" t="s">
        <v>96</v>
      </c>
      <c r="D875" s="910" t="s">
        <v>2953</v>
      </c>
      <c r="E875" s="907">
        <v>2000</v>
      </c>
      <c r="F875" s="908" t="s">
        <v>3140</v>
      </c>
      <c r="G875" s="911" t="s">
        <v>3141</v>
      </c>
      <c r="H875" s="910" t="s">
        <v>2867</v>
      </c>
      <c r="I875" s="911"/>
      <c r="J875" s="910" t="s">
        <v>2867</v>
      </c>
      <c r="K875" s="909">
        <v>1</v>
      </c>
      <c r="L875" s="909">
        <v>12</v>
      </c>
      <c r="M875" s="917">
        <v>25960.799999999999</v>
      </c>
      <c r="N875" s="908">
        <v>1</v>
      </c>
      <c r="O875" s="908">
        <v>6</v>
      </c>
      <c r="P875" s="917">
        <v>13044.9</v>
      </c>
      <c r="R875" s="890"/>
    </row>
    <row r="876" spans="1:18" s="276" customFormat="1" ht="15.95" customHeight="1">
      <c r="A876" s="908" t="s">
        <v>2857</v>
      </c>
      <c r="B876" s="908" t="s">
        <v>2858</v>
      </c>
      <c r="C876" s="908" t="s">
        <v>96</v>
      </c>
      <c r="D876" s="910" t="s">
        <v>3142</v>
      </c>
      <c r="E876" s="907">
        <v>6000</v>
      </c>
      <c r="F876" s="908" t="s">
        <v>3143</v>
      </c>
      <c r="G876" s="911" t="s">
        <v>3144</v>
      </c>
      <c r="H876" s="910" t="s">
        <v>2062</v>
      </c>
      <c r="I876" s="911" t="s">
        <v>2863</v>
      </c>
      <c r="J876" s="910" t="s">
        <v>2062</v>
      </c>
      <c r="K876" s="909">
        <v>1</v>
      </c>
      <c r="L876" s="909">
        <v>5</v>
      </c>
      <c r="M876" s="917">
        <v>31167</v>
      </c>
      <c r="N876" s="908">
        <v>1</v>
      </c>
      <c r="O876" s="908">
        <v>6</v>
      </c>
      <c r="P876" s="917">
        <v>37044.9</v>
      </c>
      <c r="R876" s="890"/>
    </row>
    <row r="877" spans="1:18" s="276" customFormat="1" ht="15.95" customHeight="1">
      <c r="A877" s="908" t="s">
        <v>2857</v>
      </c>
      <c r="B877" s="908" t="s">
        <v>2858</v>
      </c>
      <c r="C877" s="908" t="s">
        <v>96</v>
      </c>
      <c r="D877" s="910" t="s">
        <v>2953</v>
      </c>
      <c r="E877" s="907">
        <v>2000</v>
      </c>
      <c r="F877" s="908" t="s">
        <v>3145</v>
      </c>
      <c r="G877" s="911" t="s">
        <v>3146</v>
      </c>
      <c r="H877" s="910" t="s">
        <v>2867</v>
      </c>
      <c r="I877" s="911"/>
      <c r="J877" s="910" t="s">
        <v>2867</v>
      </c>
      <c r="K877" s="909">
        <v>1</v>
      </c>
      <c r="L877" s="909">
        <v>10</v>
      </c>
      <c r="M877" s="917">
        <v>21734</v>
      </c>
      <c r="N877" s="908">
        <v>1</v>
      </c>
      <c r="O877" s="908">
        <v>6</v>
      </c>
      <c r="P877" s="917">
        <v>13044.9</v>
      </c>
      <c r="R877" s="890"/>
    </row>
    <row r="878" spans="1:18" s="276" customFormat="1" ht="24">
      <c r="A878" s="908" t="s">
        <v>2857</v>
      </c>
      <c r="B878" s="908" t="s">
        <v>1402</v>
      </c>
      <c r="C878" s="908" t="s">
        <v>96</v>
      </c>
      <c r="D878" s="910" t="s">
        <v>2972</v>
      </c>
      <c r="E878" s="907">
        <v>1800</v>
      </c>
      <c r="F878" s="908" t="s">
        <v>3147</v>
      </c>
      <c r="G878" s="911" t="s">
        <v>3148</v>
      </c>
      <c r="H878" s="910" t="s">
        <v>3149</v>
      </c>
      <c r="I878" s="911"/>
      <c r="J878" s="910" t="s">
        <v>3149</v>
      </c>
      <c r="K878" s="909">
        <v>1</v>
      </c>
      <c r="L878" s="909">
        <v>5</v>
      </c>
      <c r="M878" s="917">
        <v>10167</v>
      </c>
      <c r="N878" s="908">
        <v>1</v>
      </c>
      <c r="O878" s="908">
        <v>6</v>
      </c>
      <c r="P878" s="917">
        <v>11844.9</v>
      </c>
      <c r="R878" s="890"/>
    </row>
    <row r="879" spans="1:18" s="276" customFormat="1" ht="36">
      <c r="A879" s="908" t="s">
        <v>2857</v>
      </c>
      <c r="B879" s="908" t="s">
        <v>1402</v>
      </c>
      <c r="C879" s="908" t="s">
        <v>96</v>
      </c>
      <c r="D879" s="910" t="s">
        <v>3150</v>
      </c>
      <c r="E879" s="907">
        <v>2000</v>
      </c>
      <c r="F879" s="908" t="s">
        <v>3151</v>
      </c>
      <c r="G879" s="911" t="s">
        <v>3152</v>
      </c>
      <c r="H879" s="910" t="s">
        <v>3153</v>
      </c>
      <c r="I879" s="911"/>
      <c r="J879" s="910" t="s">
        <v>3153</v>
      </c>
      <c r="K879" s="909">
        <v>1</v>
      </c>
      <c r="L879" s="909">
        <v>2</v>
      </c>
      <c r="M879" s="917">
        <v>4826.8</v>
      </c>
      <c r="N879" s="908">
        <v>1</v>
      </c>
      <c r="O879" s="908">
        <v>6</v>
      </c>
      <c r="P879" s="917">
        <v>13044.9</v>
      </c>
      <c r="R879" s="890"/>
    </row>
    <row r="880" spans="1:18" s="276" customFormat="1" ht="15.95" customHeight="1">
      <c r="A880" s="908" t="s">
        <v>2857</v>
      </c>
      <c r="B880" s="908" t="s">
        <v>1402</v>
      </c>
      <c r="C880" s="908" t="s">
        <v>96</v>
      </c>
      <c r="D880" s="910" t="s">
        <v>3154</v>
      </c>
      <c r="E880" s="907">
        <v>5000</v>
      </c>
      <c r="F880" s="908" t="s">
        <v>3155</v>
      </c>
      <c r="G880" s="911" t="s">
        <v>3156</v>
      </c>
      <c r="H880" s="910" t="s">
        <v>2750</v>
      </c>
      <c r="I880" s="911" t="s">
        <v>2863</v>
      </c>
      <c r="J880" s="910" t="s">
        <v>2750</v>
      </c>
      <c r="K880" s="909">
        <v>1</v>
      </c>
      <c r="L880" s="909">
        <v>7</v>
      </c>
      <c r="M880" s="917">
        <v>36393.800000000003</v>
      </c>
      <c r="N880" s="908">
        <v>1</v>
      </c>
      <c r="O880" s="908"/>
      <c r="P880" s="917">
        <v>3836.56</v>
      </c>
      <c r="R880" s="890"/>
    </row>
    <row r="881" spans="1:18" s="276" customFormat="1" ht="15.95" customHeight="1">
      <c r="A881" s="908" t="s">
        <v>2857</v>
      </c>
      <c r="B881" s="908" t="s">
        <v>2858</v>
      </c>
      <c r="C881" s="908" t="s">
        <v>96</v>
      </c>
      <c r="D881" s="910" t="s">
        <v>2977</v>
      </c>
      <c r="E881" s="907">
        <v>1000</v>
      </c>
      <c r="F881" s="908" t="s">
        <v>3157</v>
      </c>
      <c r="G881" s="911" t="s">
        <v>3158</v>
      </c>
      <c r="H881" s="910" t="s">
        <v>2867</v>
      </c>
      <c r="I881" s="911"/>
      <c r="J881" s="910" t="s">
        <v>2867</v>
      </c>
      <c r="K881" s="909">
        <v>1</v>
      </c>
      <c r="L881" s="909">
        <v>2</v>
      </c>
      <c r="M881" s="917">
        <v>2826.8</v>
      </c>
      <c r="N881" s="908">
        <v>1</v>
      </c>
      <c r="O881" s="908">
        <v>6</v>
      </c>
      <c r="P881" s="917">
        <v>7044.9</v>
      </c>
      <c r="R881" s="890"/>
    </row>
    <row r="882" spans="1:18" s="276" customFormat="1" ht="15.95" customHeight="1">
      <c r="A882" s="908" t="s">
        <v>2857</v>
      </c>
      <c r="B882" s="908" t="s">
        <v>1402</v>
      </c>
      <c r="C882" s="908" t="s">
        <v>96</v>
      </c>
      <c r="D882" s="910" t="s">
        <v>2479</v>
      </c>
      <c r="E882" s="907">
        <v>3000</v>
      </c>
      <c r="F882" s="908" t="s">
        <v>3159</v>
      </c>
      <c r="G882" s="911" t="s">
        <v>3160</v>
      </c>
      <c r="H882" s="910" t="s">
        <v>1410</v>
      </c>
      <c r="I882" s="911" t="s">
        <v>2863</v>
      </c>
      <c r="J882" s="910" t="s">
        <v>1410</v>
      </c>
      <c r="K882" s="909">
        <v>1</v>
      </c>
      <c r="L882" s="909">
        <v>2</v>
      </c>
      <c r="M882" s="917">
        <v>6826.8</v>
      </c>
      <c r="N882" s="908">
        <v>1</v>
      </c>
      <c r="O882" s="908">
        <v>6</v>
      </c>
      <c r="P882" s="917">
        <v>19044.900000000001</v>
      </c>
      <c r="R882" s="890"/>
    </row>
    <row r="883" spans="1:18" s="276" customFormat="1" ht="24">
      <c r="A883" s="908" t="s">
        <v>2857</v>
      </c>
      <c r="B883" s="908" t="s">
        <v>2858</v>
      </c>
      <c r="C883" s="908" t="s">
        <v>96</v>
      </c>
      <c r="D883" s="910" t="s">
        <v>3123</v>
      </c>
      <c r="E883" s="907">
        <v>1700</v>
      </c>
      <c r="F883" s="908" t="s">
        <v>3161</v>
      </c>
      <c r="G883" s="911" t="s">
        <v>3162</v>
      </c>
      <c r="H883" s="910" t="s">
        <v>3163</v>
      </c>
      <c r="I883" s="911"/>
      <c r="J883" s="910" t="s">
        <v>3163</v>
      </c>
      <c r="K883" s="909">
        <v>1</v>
      </c>
      <c r="L883" s="909">
        <v>1</v>
      </c>
      <c r="M883" s="917">
        <v>2413.4</v>
      </c>
      <c r="N883" s="908">
        <v>1</v>
      </c>
      <c r="O883" s="908">
        <v>6</v>
      </c>
      <c r="P883" s="917">
        <v>11244.9</v>
      </c>
      <c r="R883" s="890"/>
    </row>
    <row r="884" spans="1:18" s="276" customFormat="1" ht="15.95" customHeight="1">
      <c r="A884" s="908" t="s">
        <v>2857</v>
      </c>
      <c r="B884" s="908" t="s">
        <v>2858</v>
      </c>
      <c r="C884" s="908" t="s">
        <v>96</v>
      </c>
      <c r="D884" s="910" t="s">
        <v>3164</v>
      </c>
      <c r="E884" s="907">
        <v>8000</v>
      </c>
      <c r="F884" s="908" t="s">
        <v>3165</v>
      </c>
      <c r="G884" s="911" t="s">
        <v>3166</v>
      </c>
      <c r="H884" s="910" t="s">
        <v>2797</v>
      </c>
      <c r="I884" s="911" t="s">
        <v>2863</v>
      </c>
      <c r="J884" s="910" t="s">
        <v>2797</v>
      </c>
      <c r="K884" s="909">
        <v>1</v>
      </c>
      <c r="L884" s="909">
        <v>1</v>
      </c>
      <c r="M884" s="917">
        <v>8713.4</v>
      </c>
      <c r="N884" s="908">
        <v>1</v>
      </c>
      <c r="O884" s="908">
        <v>3</v>
      </c>
      <c r="P884" s="917">
        <v>24000</v>
      </c>
      <c r="R884" s="890"/>
    </row>
    <row r="885" spans="1:18" s="276" customFormat="1" ht="15.95" customHeight="1">
      <c r="A885" s="908" t="s">
        <v>2857</v>
      </c>
      <c r="B885" s="908" t="s">
        <v>2858</v>
      </c>
      <c r="C885" s="908" t="s">
        <v>96</v>
      </c>
      <c r="D885" s="910" t="s">
        <v>2953</v>
      </c>
      <c r="E885" s="907">
        <v>2000</v>
      </c>
      <c r="F885" s="908">
        <v>45277541</v>
      </c>
      <c r="G885" s="911" t="s">
        <v>3167</v>
      </c>
      <c r="H885" s="910" t="s">
        <v>2867</v>
      </c>
      <c r="I885" s="911"/>
      <c r="J885" s="910" t="s">
        <v>2867</v>
      </c>
      <c r="K885" s="909">
        <v>1</v>
      </c>
      <c r="L885" s="909">
        <v>1</v>
      </c>
      <c r="M885" s="917">
        <v>2713.4</v>
      </c>
      <c r="N885" s="908">
        <v>1</v>
      </c>
      <c r="O885" s="908">
        <v>6</v>
      </c>
      <c r="P885" s="917">
        <v>13044.9</v>
      </c>
      <c r="R885" s="890"/>
    </row>
    <row r="886" spans="1:18" s="276" customFormat="1" ht="15.95" customHeight="1">
      <c r="A886" s="908" t="s">
        <v>2857</v>
      </c>
      <c r="B886" s="908" t="s">
        <v>2858</v>
      </c>
      <c r="C886" s="908" t="s">
        <v>96</v>
      </c>
      <c r="D886" s="910" t="s">
        <v>3168</v>
      </c>
      <c r="E886" s="907">
        <v>3700</v>
      </c>
      <c r="F886" s="908" t="s">
        <v>3169</v>
      </c>
      <c r="G886" s="911" t="s">
        <v>3170</v>
      </c>
      <c r="H886" s="910" t="s">
        <v>2942</v>
      </c>
      <c r="I886" s="911" t="s">
        <v>2863</v>
      </c>
      <c r="J886" s="910" t="s">
        <v>2942</v>
      </c>
      <c r="K886" s="909">
        <v>1</v>
      </c>
      <c r="L886" s="909">
        <v>1</v>
      </c>
      <c r="M886" s="917">
        <v>4413.3999999999996</v>
      </c>
      <c r="N886" s="908">
        <v>1</v>
      </c>
      <c r="O886" s="908">
        <v>6</v>
      </c>
      <c r="P886" s="917">
        <v>23244.9</v>
      </c>
      <c r="R886" s="890"/>
    </row>
    <row r="887" spans="1:18" s="276" customFormat="1" ht="24">
      <c r="A887" s="908" t="s">
        <v>2857</v>
      </c>
      <c r="B887" s="908" t="s">
        <v>1402</v>
      </c>
      <c r="C887" s="908" t="s">
        <v>96</v>
      </c>
      <c r="D887" s="910" t="s">
        <v>3097</v>
      </c>
      <c r="E887" s="907">
        <v>4500</v>
      </c>
      <c r="F887" s="908" t="s">
        <v>3171</v>
      </c>
      <c r="G887" s="911" t="s">
        <v>3172</v>
      </c>
      <c r="H887" s="910" t="s">
        <v>2409</v>
      </c>
      <c r="I887" s="911" t="s">
        <v>2863</v>
      </c>
      <c r="J887" s="910" t="s">
        <v>2409</v>
      </c>
      <c r="K887" s="909">
        <v>1</v>
      </c>
      <c r="L887" s="909">
        <v>1</v>
      </c>
      <c r="M887" s="917">
        <v>5213.3999999999996</v>
      </c>
      <c r="N887" s="908">
        <v>1</v>
      </c>
      <c r="O887" s="908">
        <v>6</v>
      </c>
      <c r="P887" s="917">
        <v>28044.9</v>
      </c>
      <c r="R887" s="890"/>
    </row>
    <row r="888" spans="1:18" s="276" customFormat="1" ht="15.95" customHeight="1">
      <c r="A888" s="908" t="s">
        <v>2857</v>
      </c>
      <c r="B888" s="908" t="s">
        <v>2858</v>
      </c>
      <c r="C888" s="908" t="s">
        <v>96</v>
      </c>
      <c r="D888" s="910" t="s">
        <v>2960</v>
      </c>
      <c r="E888" s="907">
        <v>4000</v>
      </c>
      <c r="F888" s="908" t="s">
        <v>3173</v>
      </c>
      <c r="G888" s="911" t="s">
        <v>3174</v>
      </c>
      <c r="H888" s="910" t="s">
        <v>2797</v>
      </c>
      <c r="I888" s="911" t="s">
        <v>2863</v>
      </c>
      <c r="J888" s="910" t="s">
        <v>2797</v>
      </c>
      <c r="K888" s="909">
        <v>1</v>
      </c>
      <c r="L888" s="909">
        <v>1</v>
      </c>
      <c r="M888" s="917">
        <v>4713.3999999999996</v>
      </c>
      <c r="N888" s="908">
        <v>1</v>
      </c>
      <c r="O888" s="908">
        <v>6</v>
      </c>
      <c r="P888" s="917">
        <v>25044.9</v>
      </c>
      <c r="R888" s="890"/>
    </row>
    <row r="889" spans="1:18" s="276" customFormat="1" ht="15.95" customHeight="1">
      <c r="A889" s="908" t="s">
        <v>2857</v>
      </c>
      <c r="B889" s="908" t="s">
        <v>2858</v>
      </c>
      <c r="C889" s="908" t="s">
        <v>96</v>
      </c>
      <c r="D889" s="910" t="s">
        <v>2501</v>
      </c>
      <c r="E889" s="907">
        <v>8000</v>
      </c>
      <c r="F889" s="908" t="s">
        <v>3175</v>
      </c>
      <c r="G889" s="911" t="s">
        <v>3176</v>
      </c>
      <c r="H889" s="910" t="s">
        <v>3072</v>
      </c>
      <c r="I889" s="911" t="s">
        <v>2863</v>
      </c>
      <c r="J889" s="910" t="s">
        <v>3072</v>
      </c>
      <c r="K889" s="909">
        <v>1</v>
      </c>
      <c r="L889" s="909">
        <v>1</v>
      </c>
      <c r="M889" s="917">
        <v>8713.4</v>
      </c>
      <c r="N889" s="908">
        <v>1</v>
      </c>
      <c r="O889" s="908">
        <v>6</v>
      </c>
      <c r="P889" s="917">
        <v>49044.9</v>
      </c>
      <c r="R889" s="890"/>
    </row>
    <row r="890" spans="1:18" s="276" customFormat="1" ht="24">
      <c r="A890" s="908" t="s">
        <v>2857</v>
      </c>
      <c r="B890" s="908" t="s">
        <v>1402</v>
      </c>
      <c r="C890" s="908" t="s">
        <v>96</v>
      </c>
      <c r="D890" s="910" t="s">
        <v>3069</v>
      </c>
      <c r="E890" s="907">
        <v>8000</v>
      </c>
      <c r="F890" s="908" t="s">
        <v>3177</v>
      </c>
      <c r="G890" s="911" t="s">
        <v>3178</v>
      </c>
      <c r="H890" s="910" t="s">
        <v>2883</v>
      </c>
      <c r="I890" s="911" t="s">
        <v>2863</v>
      </c>
      <c r="J890" s="910" t="s">
        <v>2883</v>
      </c>
      <c r="K890" s="909">
        <v>1</v>
      </c>
      <c r="L890" s="909">
        <v>1</v>
      </c>
      <c r="M890" s="917">
        <v>8713.4</v>
      </c>
      <c r="N890" s="908">
        <v>1</v>
      </c>
      <c r="O890" s="908">
        <v>6</v>
      </c>
      <c r="P890" s="917">
        <v>49044.9</v>
      </c>
      <c r="R890" s="890"/>
    </row>
    <row r="891" spans="1:18" s="276" customFormat="1" ht="15.95" customHeight="1">
      <c r="A891" s="908" t="s">
        <v>2857</v>
      </c>
      <c r="B891" s="908" t="s">
        <v>2858</v>
      </c>
      <c r="C891" s="908" t="s">
        <v>96</v>
      </c>
      <c r="D891" s="910" t="s">
        <v>1754</v>
      </c>
      <c r="E891" s="907">
        <v>7500</v>
      </c>
      <c r="F891" s="908" t="s">
        <v>3179</v>
      </c>
      <c r="G891" s="911" t="s">
        <v>3180</v>
      </c>
      <c r="H891" s="910" t="s">
        <v>2750</v>
      </c>
      <c r="I891" s="911" t="s">
        <v>2863</v>
      </c>
      <c r="J891" s="910" t="s">
        <v>2750</v>
      </c>
      <c r="K891" s="909">
        <v>1</v>
      </c>
      <c r="L891" s="909">
        <v>1</v>
      </c>
      <c r="M891" s="917">
        <v>8213.4</v>
      </c>
      <c r="N891" s="908">
        <v>1</v>
      </c>
      <c r="O891" s="908">
        <v>6</v>
      </c>
      <c r="P891" s="917">
        <v>46044.9</v>
      </c>
      <c r="R891" s="890"/>
    </row>
    <row r="892" spans="1:18" s="276" customFormat="1" ht="15.95" customHeight="1">
      <c r="A892" s="908" t="s">
        <v>2857</v>
      </c>
      <c r="B892" s="908" t="s">
        <v>1402</v>
      </c>
      <c r="C892" s="908" t="s">
        <v>96</v>
      </c>
      <c r="D892" s="910" t="s">
        <v>2972</v>
      </c>
      <c r="E892" s="907">
        <v>1500</v>
      </c>
      <c r="F892" s="908" t="s">
        <v>3181</v>
      </c>
      <c r="G892" s="911" t="s">
        <v>3182</v>
      </c>
      <c r="H892" s="910" t="s">
        <v>3021</v>
      </c>
      <c r="I892" s="911"/>
      <c r="J892" s="910" t="s">
        <v>3021</v>
      </c>
      <c r="K892" s="909">
        <v>1</v>
      </c>
      <c r="L892" s="909">
        <v>1</v>
      </c>
      <c r="M892" s="917">
        <v>2213.4</v>
      </c>
      <c r="N892" s="908">
        <v>1</v>
      </c>
      <c r="O892" s="908">
        <v>6</v>
      </c>
      <c r="P892" s="917">
        <v>10044.9</v>
      </c>
      <c r="R892" s="890"/>
    </row>
    <row r="893" spans="1:18" s="276" customFormat="1" ht="15.95" customHeight="1">
      <c r="A893" s="908" t="s">
        <v>2857</v>
      </c>
      <c r="B893" s="908" t="s">
        <v>1402</v>
      </c>
      <c r="C893" s="908" t="s">
        <v>96</v>
      </c>
      <c r="D893" s="910" t="s">
        <v>2946</v>
      </c>
      <c r="E893" s="907">
        <v>1800</v>
      </c>
      <c r="F893" s="908" t="s">
        <v>3183</v>
      </c>
      <c r="G893" s="911" t="s">
        <v>3184</v>
      </c>
      <c r="H893" s="910" t="s">
        <v>2946</v>
      </c>
      <c r="I893" s="911"/>
      <c r="J893" s="910" t="s">
        <v>2946</v>
      </c>
      <c r="K893" s="909">
        <v>1</v>
      </c>
      <c r="L893" s="909">
        <v>0</v>
      </c>
      <c r="M893" s="917"/>
      <c r="N893" s="908">
        <v>1</v>
      </c>
      <c r="O893" s="908">
        <v>2</v>
      </c>
      <c r="P893" s="917">
        <v>4644.8999999999996</v>
      </c>
      <c r="R893" s="890"/>
    </row>
    <row r="894" spans="1:18" s="276" customFormat="1" ht="24">
      <c r="A894" s="908" t="s">
        <v>2857</v>
      </c>
      <c r="B894" s="908" t="s">
        <v>1402</v>
      </c>
      <c r="C894" s="908" t="s">
        <v>96</v>
      </c>
      <c r="D894" s="910" t="s">
        <v>3154</v>
      </c>
      <c r="E894" s="907">
        <v>5000</v>
      </c>
      <c r="F894" s="908" t="s">
        <v>3185</v>
      </c>
      <c r="G894" s="911" t="s">
        <v>3186</v>
      </c>
      <c r="H894" s="910" t="s">
        <v>3187</v>
      </c>
      <c r="I894" s="911" t="s">
        <v>2863</v>
      </c>
      <c r="J894" s="910" t="s">
        <v>3187</v>
      </c>
      <c r="K894" s="909">
        <v>1</v>
      </c>
      <c r="L894" s="909">
        <v>0</v>
      </c>
      <c r="M894" s="917"/>
      <c r="N894" s="908">
        <v>1</v>
      </c>
      <c r="O894" s="908">
        <v>2</v>
      </c>
      <c r="P894" s="917">
        <v>11044.9</v>
      </c>
      <c r="R894" s="890"/>
    </row>
    <row r="895" spans="1:18" s="276" customFormat="1" ht="24">
      <c r="A895" s="908" t="s">
        <v>2857</v>
      </c>
      <c r="B895" s="908" t="s">
        <v>2858</v>
      </c>
      <c r="C895" s="908" t="s">
        <v>96</v>
      </c>
      <c r="D895" s="910" t="s">
        <v>3164</v>
      </c>
      <c r="E895" s="907">
        <v>8000</v>
      </c>
      <c r="F895" s="908" t="s">
        <v>3188</v>
      </c>
      <c r="G895" s="911" t="s">
        <v>3189</v>
      </c>
      <c r="H895" s="910" t="s">
        <v>3190</v>
      </c>
      <c r="I895" s="911" t="s">
        <v>2863</v>
      </c>
      <c r="J895" s="910" t="s">
        <v>3190</v>
      </c>
      <c r="K895" s="909">
        <v>1</v>
      </c>
      <c r="L895" s="909">
        <v>0</v>
      </c>
      <c r="M895" s="917"/>
      <c r="N895" s="908">
        <v>1</v>
      </c>
      <c r="O895" s="908">
        <v>2</v>
      </c>
      <c r="P895" s="917">
        <v>17044.900000000001</v>
      </c>
      <c r="R895" s="890"/>
    </row>
    <row r="896" spans="1:18" s="276" customFormat="1" ht="48">
      <c r="A896" s="908" t="s">
        <v>2857</v>
      </c>
      <c r="B896" s="908" t="s">
        <v>1402</v>
      </c>
      <c r="C896" s="908" t="s">
        <v>96</v>
      </c>
      <c r="D896" s="910" t="s">
        <v>1539</v>
      </c>
      <c r="E896" s="907">
        <v>2400</v>
      </c>
      <c r="F896" s="908" t="s">
        <v>3191</v>
      </c>
      <c r="G896" s="911" t="s">
        <v>3192</v>
      </c>
      <c r="H896" s="910" t="s">
        <v>3193</v>
      </c>
      <c r="I896" s="911" t="s">
        <v>2863</v>
      </c>
      <c r="J896" s="910" t="s">
        <v>3193</v>
      </c>
      <c r="K896" s="909">
        <v>1</v>
      </c>
      <c r="L896" s="909">
        <v>0</v>
      </c>
      <c r="M896" s="917"/>
      <c r="N896" s="908">
        <v>1</v>
      </c>
      <c r="O896" s="908">
        <v>2</v>
      </c>
      <c r="P896" s="917">
        <v>5844.9</v>
      </c>
      <c r="R896" s="890"/>
    </row>
    <row r="897" spans="1:18" s="276" customFormat="1" ht="15.95" customHeight="1">
      <c r="A897" s="908" t="s">
        <v>2857</v>
      </c>
      <c r="B897" s="908" t="s">
        <v>1402</v>
      </c>
      <c r="C897" s="908" t="s">
        <v>96</v>
      </c>
      <c r="D897" s="910" t="s">
        <v>3194</v>
      </c>
      <c r="E897" s="907">
        <v>2500</v>
      </c>
      <c r="F897" s="908" t="s">
        <v>3195</v>
      </c>
      <c r="G897" s="911" t="s">
        <v>3196</v>
      </c>
      <c r="H897" s="910" t="s">
        <v>3021</v>
      </c>
      <c r="I897" s="911"/>
      <c r="J897" s="910" t="s">
        <v>3021</v>
      </c>
      <c r="K897" s="909">
        <v>1</v>
      </c>
      <c r="L897" s="909">
        <v>0</v>
      </c>
      <c r="M897" s="917"/>
      <c r="N897" s="908">
        <v>1</v>
      </c>
      <c r="O897" s="908">
        <v>2</v>
      </c>
      <c r="P897" s="917">
        <v>6044.9</v>
      </c>
      <c r="R897" s="890"/>
    </row>
    <row r="898" spans="1:18" s="276" customFormat="1">
      <c r="F898" s="915"/>
      <c r="K898" s="914"/>
      <c r="L898" s="914"/>
      <c r="M898" s="898">
        <f>SUM(M778:M897)</f>
        <v>3026820.9999999967</v>
      </c>
      <c r="N898" s="897"/>
      <c r="O898" s="897"/>
      <c r="P898" s="898">
        <f>SUM(P778:P897)</f>
        <v>1579313.9999999984</v>
      </c>
      <c r="R898" s="890"/>
    </row>
    <row r="899" spans="1:18" s="276" customFormat="1">
      <c r="A899" s="916" t="s">
        <v>4241</v>
      </c>
      <c r="F899" s="915"/>
      <c r="K899" s="914"/>
      <c r="L899" s="914"/>
      <c r="R899" s="890"/>
    </row>
    <row r="900" spans="1:18" s="276" customFormat="1" ht="15.95" customHeight="1">
      <c r="A900" s="908" t="s">
        <v>3199</v>
      </c>
      <c r="B900" s="908" t="s">
        <v>1402</v>
      </c>
      <c r="C900" s="908" t="s">
        <v>96</v>
      </c>
      <c r="D900" s="910" t="s">
        <v>3200</v>
      </c>
      <c r="E900" s="907">
        <v>6000</v>
      </c>
      <c r="F900" s="908" t="s">
        <v>3201</v>
      </c>
      <c r="G900" s="910" t="s">
        <v>3202</v>
      </c>
      <c r="H900" s="911" t="s">
        <v>2743</v>
      </c>
      <c r="I900" s="911" t="s">
        <v>2863</v>
      </c>
      <c r="J900" s="910" t="s">
        <v>2743</v>
      </c>
      <c r="K900" s="909">
        <v>1</v>
      </c>
      <c r="L900" s="909">
        <v>12</v>
      </c>
      <c r="M900" s="907">
        <v>74260.800000000003</v>
      </c>
      <c r="N900" s="908">
        <v>1</v>
      </c>
      <c r="O900" s="908">
        <v>6</v>
      </c>
      <c r="P900" s="907">
        <v>37044.9</v>
      </c>
      <c r="R900" s="890"/>
    </row>
    <row r="901" spans="1:18" s="276" customFormat="1" ht="15.95" customHeight="1">
      <c r="A901" s="908" t="s">
        <v>3199</v>
      </c>
      <c r="B901" s="908" t="s">
        <v>1402</v>
      </c>
      <c r="C901" s="908" t="s">
        <v>96</v>
      </c>
      <c r="D901" s="910" t="s">
        <v>3200</v>
      </c>
      <c r="E901" s="907">
        <v>6000</v>
      </c>
      <c r="F901" s="908" t="s">
        <v>3203</v>
      </c>
      <c r="G901" s="910" t="s">
        <v>3204</v>
      </c>
      <c r="H901" s="911" t="s">
        <v>2743</v>
      </c>
      <c r="I901" s="911" t="s">
        <v>2863</v>
      </c>
      <c r="J901" s="910" t="s">
        <v>2743</v>
      </c>
      <c r="K901" s="909">
        <v>1</v>
      </c>
      <c r="L901" s="909">
        <v>12</v>
      </c>
      <c r="M901" s="907">
        <v>74260.800000000003</v>
      </c>
      <c r="N901" s="908">
        <v>1</v>
      </c>
      <c r="O901" s="908">
        <v>6</v>
      </c>
      <c r="P901" s="907">
        <v>37044.9</v>
      </c>
      <c r="R901" s="890"/>
    </row>
    <row r="902" spans="1:18" s="276" customFormat="1" ht="15.95" customHeight="1">
      <c r="A902" s="908" t="s">
        <v>3199</v>
      </c>
      <c r="B902" s="908" t="s">
        <v>1402</v>
      </c>
      <c r="C902" s="908" t="s">
        <v>96</v>
      </c>
      <c r="D902" s="910" t="s">
        <v>3200</v>
      </c>
      <c r="E902" s="907">
        <v>7000</v>
      </c>
      <c r="F902" s="908" t="s">
        <v>3205</v>
      </c>
      <c r="G902" s="910" t="s">
        <v>3206</v>
      </c>
      <c r="H902" s="911" t="s">
        <v>2750</v>
      </c>
      <c r="I902" s="911" t="s">
        <v>2863</v>
      </c>
      <c r="J902" s="910" t="s">
        <v>2750</v>
      </c>
      <c r="K902" s="909">
        <v>1</v>
      </c>
      <c r="L902" s="909">
        <v>12</v>
      </c>
      <c r="M902" s="907">
        <v>78927.47</v>
      </c>
      <c r="N902" s="908">
        <v>1</v>
      </c>
      <c r="O902" s="908">
        <v>6</v>
      </c>
      <c r="P902" s="907">
        <v>43044.9</v>
      </c>
      <c r="R902" s="890"/>
    </row>
    <row r="903" spans="1:18" s="276" customFormat="1" ht="15.95" customHeight="1">
      <c r="A903" s="908" t="s">
        <v>3199</v>
      </c>
      <c r="B903" s="908" t="s">
        <v>1402</v>
      </c>
      <c r="C903" s="908" t="s">
        <v>96</v>
      </c>
      <c r="D903" s="910" t="s">
        <v>3200</v>
      </c>
      <c r="E903" s="907">
        <v>7000</v>
      </c>
      <c r="F903" s="908" t="s">
        <v>3207</v>
      </c>
      <c r="G903" s="910" t="s">
        <v>3208</v>
      </c>
      <c r="H903" s="911" t="s">
        <v>2743</v>
      </c>
      <c r="I903" s="911" t="s">
        <v>2863</v>
      </c>
      <c r="J903" s="910" t="s">
        <v>2743</v>
      </c>
      <c r="K903" s="909">
        <v>1</v>
      </c>
      <c r="L903" s="909">
        <v>12</v>
      </c>
      <c r="M903" s="907">
        <v>86260.800000000003</v>
      </c>
      <c r="N903" s="908">
        <v>1</v>
      </c>
      <c r="O903" s="908">
        <v>6</v>
      </c>
      <c r="P903" s="907">
        <v>43044.9</v>
      </c>
      <c r="R903" s="890"/>
    </row>
    <row r="904" spans="1:18" s="276" customFormat="1" ht="15.95" customHeight="1">
      <c r="A904" s="908" t="s">
        <v>3199</v>
      </c>
      <c r="B904" s="908" t="s">
        <v>1402</v>
      </c>
      <c r="C904" s="908" t="s">
        <v>96</v>
      </c>
      <c r="D904" s="910" t="s">
        <v>3200</v>
      </c>
      <c r="E904" s="907">
        <v>7000</v>
      </c>
      <c r="F904" s="908" t="s">
        <v>3209</v>
      </c>
      <c r="G904" s="910" t="s">
        <v>3210</v>
      </c>
      <c r="H904" s="911" t="s">
        <v>2743</v>
      </c>
      <c r="I904" s="911" t="s">
        <v>2863</v>
      </c>
      <c r="J904" s="910" t="s">
        <v>2743</v>
      </c>
      <c r="K904" s="909">
        <v>1</v>
      </c>
      <c r="L904" s="909">
        <v>12</v>
      </c>
      <c r="M904" s="907">
        <v>83717.47</v>
      </c>
      <c r="N904" s="908">
        <v>1</v>
      </c>
      <c r="O904" s="908">
        <v>6</v>
      </c>
      <c r="P904" s="907">
        <v>43044.9</v>
      </c>
      <c r="R904" s="890"/>
    </row>
    <row r="905" spans="1:18" s="276" customFormat="1" ht="15.95" customHeight="1">
      <c r="A905" s="908" t="s">
        <v>3199</v>
      </c>
      <c r="B905" s="908" t="s">
        <v>1402</v>
      </c>
      <c r="C905" s="908" t="s">
        <v>96</v>
      </c>
      <c r="D905" s="910" t="s">
        <v>3200</v>
      </c>
      <c r="E905" s="907">
        <v>6000</v>
      </c>
      <c r="F905" s="908" t="s">
        <v>3211</v>
      </c>
      <c r="G905" s="910" t="s">
        <v>3212</v>
      </c>
      <c r="H905" s="911" t="s">
        <v>2743</v>
      </c>
      <c r="I905" s="911" t="s">
        <v>2863</v>
      </c>
      <c r="J905" s="910" t="s">
        <v>2743</v>
      </c>
      <c r="K905" s="909">
        <v>1</v>
      </c>
      <c r="L905" s="909">
        <v>12</v>
      </c>
      <c r="M905" s="907">
        <v>75260.800000000003</v>
      </c>
      <c r="N905" s="908">
        <v>1</v>
      </c>
      <c r="O905" s="908">
        <v>6</v>
      </c>
      <c r="P905" s="907">
        <v>37044.9</v>
      </c>
      <c r="R905" s="890"/>
    </row>
    <row r="906" spans="1:18" s="276" customFormat="1" ht="15.95" customHeight="1">
      <c r="A906" s="908" t="s">
        <v>3199</v>
      </c>
      <c r="B906" s="908" t="s">
        <v>1402</v>
      </c>
      <c r="C906" s="908" t="s">
        <v>96</v>
      </c>
      <c r="D906" s="910" t="s">
        <v>3200</v>
      </c>
      <c r="E906" s="907">
        <v>7000</v>
      </c>
      <c r="F906" s="908" t="s">
        <v>3213</v>
      </c>
      <c r="G906" s="910" t="s">
        <v>3214</v>
      </c>
      <c r="H906" s="911" t="s">
        <v>2743</v>
      </c>
      <c r="I906" s="911" t="s">
        <v>2863</v>
      </c>
      <c r="J906" s="910" t="s">
        <v>2743</v>
      </c>
      <c r="K906" s="909">
        <v>1</v>
      </c>
      <c r="L906" s="909">
        <v>12</v>
      </c>
      <c r="M906" s="907">
        <v>86260.800000000003</v>
      </c>
      <c r="N906" s="908">
        <v>1</v>
      </c>
      <c r="O906" s="908">
        <v>6</v>
      </c>
      <c r="P906" s="907">
        <v>43044.9</v>
      </c>
      <c r="R906" s="890"/>
    </row>
    <row r="907" spans="1:18" s="276" customFormat="1" ht="15.95" customHeight="1">
      <c r="A907" s="908" t="s">
        <v>3199</v>
      </c>
      <c r="B907" s="908" t="s">
        <v>1402</v>
      </c>
      <c r="C907" s="908" t="s">
        <v>96</v>
      </c>
      <c r="D907" s="910" t="s">
        <v>3200</v>
      </c>
      <c r="E907" s="907">
        <v>7000</v>
      </c>
      <c r="F907" s="908" t="s">
        <v>3215</v>
      </c>
      <c r="G907" s="910" t="s">
        <v>3216</v>
      </c>
      <c r="H907" s="911" t="s">
        <v>2743</v>
      </c>
      <c r="I907" s="911" t="s">
        <v>2863</v>
      </c>
      <c r="J907" s="910" t="s">
        <v>2743</v>
      </c>
      <c r="K907" s="909">
        <v>1</v>
      </c>
      <c r="L907" s="909">
        <v>12</v>
      </c>
      <c r="M907" s="907">
        <v>86260.800000000003</v>
      </c>
      <c r="N907" s="908">
        <v>1</v>
      </c>
      <c r="O907" s="908">
        <v>6</v>
      </c>
      <c r="P907" s="907">
        <v>43044.9</v>
      </c>
      <c r="R907" s="890"/>
    </row>
    <row r="908" spans="1:18" s="276" customFormat="1" ht="15.95" customHeight="1">
      <c r="A908" s="908" t="s">
        <v>3199</v>
      </c>
      <c r="B908" s="908" t="s">
        <v>1402</v>
      </c>
      <c r="C908" s="908" t="s">
        <v>96</v>
      </c>
      <c r="D908" s="910" t="s">
        <v>3200</v>
      </c>
      <c r="E908" s="907">
        <v>3600</v>
      </c>
      <c r="F908" s="908" t="s">
        <v>3217</v>
      </c>
      <c r="G908" s="910" t="s">
        <v>3218</v>
      </c>
      <c r="H908" s="911" t="s">
        <v>2743</v>
      </c>
      <c r="I908" s="911" t="s">
        <v>2863</v>
      </c>
      <c r="J908" s="910" t="s">
        <v>2743</v>
      </c>
      <c r="K908" s="909">
        <v>1</v>
      </c>
      <c r="L908" s="909">
        <v>12</v>
      </c>
      <c r="M908" s="907">
        <v>42180.800000000003</v>
      </c>
      <c r="N908" s="908">
        <v>1</v>
      </c>
      <c r="O908" s="908">
        <v>6</v>
      </c>
      <c r="P908" s="907">
        <v>22644.9</v>
      </c>
      <c r="R908" s="890"/>
    </row>
    <row r="909" spans="1:18" s="276" customFormat="1" ht="15.95" customHeight="1">
      <c r="A909" s="908" t="s">
        <v>3199</v>
      </c>
      <c r="B909" s="908" t="s">
        <v>1402</v>
      </c>
      <c r="C909" s="908" t="s">
        <v>96</v>
      </c>
      <c r="D909" s="910" t="s">
        <v>3200</v>
      </c>
      <c r="E909" s="907">
        <v>7000</v>
      </c>
      <c r="F909" s="908" t="s">
        <v>3219</v>
      </c>
      <c r="G909" s="910" t="s">
        <v>3220</v>
      </c>
      <c r="H909" s="911" t="s">
        <v>2743</v>
      </c>
      <c r="I909" s="911" t="s">
        <v>2863</v>
      </c>
      <c r="J909" s="910" t="s">
        <v>2743</v>
      </c>
      <c r="K909" s="909">
        <v>1</v>
      </c>
      <c r="L909" s="909">
        <v>12</v>
      </c>
      <c r="M909" s="907">
        <v>87260.800000000003</v>
      </c>
      <c r="N909" s="908">
        <v>1</v>
      </c>
      <c r="O909" s="908">
        <v>6</v>
      </c>
      <c r="P909" s="907">
        <v>43044.9</v>
      </c>
      <c r="R909" s="890"/>
    </row>
    <row r="910" spans="1:18" s="276" customFormat="1" ht="15.95" customHeight="1">
      <c r="A910" s="908" t="s">
        <v>3199</v>
      </c>
      <c r="B910" s="908" t="s">
        <v>1402</v>
      </c>
      <c r="C910" s="908" t="s">
        <v>96</v>
      </c>
      <c r="D910" s="910" t="s">
        <v>3200</v>
      </c>
      <c r="E910" s="907">
        <v>6000</v>
      </c>
      <c r="F910" s="908" t="s">
        <v>3221</v>
      </c>
      <c r="G910" s="910" t="s">
        <v>3222</v>
      </c>
      <c r="H910" s="911" t="s">
        <v>2743</v>
      </c>
      <c r="I910" s="911" t="s">
        <v>2863</v>
      </c>
      <c r="J910" s="910" t="s">
        <v>2743</v>
      </c>
      <c r="K910" s="909">
        <v>1</v>
      </c>
      <c r="L910" s="909">
        <v>12</v>
      </c>
      <c r="M910" s="907">
        <v>74260.800000000003</v>
      </c>
      <c r="N910" s="908">
        <v>1</v>
      </c>
      <c r="O910" s="908">
        <v>6</v>
      </c>
      <c r="P910" s="907">
        <v>37044.9</v>
      </c>
      <c r="R910" s="890"/>
    </row>
    <row r="911" spans="1:18" s="276" customFormat="1" ht="15.95" customHeight="1">
      <c r="A911" s="908" t="s">
        <v>3199</v>
      </c>
      <c r="B911" s="908" t="s">
        <v>1402</v>
      </c>
      <c r="C911" s="908" t="s">
        <v>96</v>
      </c>
      <c r="D911" s="910" t="s">
        <v>3223</v>
      </c>
      <c r="E911" s="907">
        <v>3500</v>
      </c>
      <c r="F911" s="908" t="s">
        <v>3224</v>
      </c>
      <c r="G911" s="910" t="s">
        <v>3225</v>
      </c>
      <c r="H911" s="911" t="s">
        <v>3226</v>
      </c>
      <c r="I911" s="911" t="s">
        <v>2863</v>
      </c>
      <c r="J911" s="910" t="s">
        <v>2750</v>
      </c>
      <c r="K911" s="909">
        <v>1</v>
      </c>
      <c r="L911" s="909">
        <v>3</v>
      </c>
      <c r="M911" s="907">
        <v>9423.5300000000007</v>
      </c>
      <c r="N911" s="908">
        <v>1</v>
      </c>
      <c r="O911" s="908">
        <v>6</v>
      </c>
      <c r="P911" s="907">
        <v>22044.9</v>
      </c>
      <c r="R911" s="890"/>
    </row>
    <row r="912" spans="1:18" s="276" customFormat="1" ht="15.95" customHeight="1">
      <c r="A912" s="908" t="s">
        <v>3199</v>
      </c>
      <c r="B912" s="908" t="s">
        <v>1402</v>
      </c>
      <c r="C912" s="908" t="s">
        <v>96</v>
      </c>
      <c r="D912" s="910" t="s">
        <v>3223</v>
      </c>
      <c r="E912" s="907">
        <v>5000</v>
      </c>
      <c r="F912" s="908" t="s">
        <v>3227</v>
      </c>
      <c r="G912" s="910" t="s">
        <v>3228</v>
      </c>
      <c r="H912" s="911" t="s">
        <v>2750</v>
      </c>
      <c r="I912" s="911" t="s">
        <v>2863</v>
      </c>
      <c r="J912" s="910" t="s">
        <v>2750</v>
      </c>
      <c r="K912" s="909">
        <v>1</v>
      </c>
      <c r="L912" s="909">
        <v>7</v>
      </c>
      <c r="M912" s="907">
        <v>34860.47</v>
      </c>
      <c r="N912" s="908"/>
      <c r="O912" s="908"/>
      <c r="P912" s="907"/>
      <c r="R912" s="890"/>
    </row>
    <row r="913" spans="1:18" s="276" customFormat="1" ht="15.95" customHeight="1">
      <c r="A913" s="908" t="s">
        <v>3199</v>
      </c>
      <c r="B913" s="908" t="s">
        <v>1402</v>
      </c>
      <c r="C913" s="908" t="s">
        <v>96</v>
      </c>
      <c r="D913" s="910" t="s">
        <v>3223</v>
      </c>
      <c r="E913" s="907">
        <v>7000</v>
      </c>
      <c r="F913" s="908" t="s">
        <v>3229</v>
      </c>
      <c r="G913" s="910" t="s">
        <v>3230</v>
      </c>
      <c r="H913" s="911" t="s">
        <v>2750</v>
      </c>
      <c r="I913" s="911" t="s">
        <v>2863</v>
      </c>
      <c r="J913" s="910" t="s">
        <v>2750</v>
      </c>
      <c r="K913" s="909">
        <v>1</v>
      </c>
      <c r="L913" s="909">
        <v>12</v>
      </c>
      <c r="M913" s="907">
        <v>86260.800000000003</v>
      </c>
      <c r="N913" s="908">
        <v>1</v>
      </c>
      <c r="O913" s="908">
        <v>6</v>
      </c>
      <c r="P913" s="907">
        <v>43044.9</v>
      </c>
      <c r="R913" s="890"/>
    </row>
    <row r="914" spans="1:18" s="276" customFormat="1" ht="15.95" customHeight="1">
      <c r="A914" s="908" t="s">
        <v>3199</v>
      </c>
      <c r="B914" s="908" t="s">
        <v>1402</v>
      </c>
      <c r="C914" s="908" t="s">
        <v>96</v>
      </c>
      <c r="D914" s="910" t="s">
        <v>3223</v>
      </c>
      <c r="E914" s="907">
        <v>5500</v>
      </c>
      <c r="F914" s="908" t="s">
        <v>3231</v>
      </c>
      <c r="G914" s="910" t="s">
        <v>3232</v>
      </c>
      <c r="H914" s="911" t="s">
        <v>3226</v>
      </c>
      <c r="I914" s="911" t="s">
        <v>2863</v>
      </c>
      <c r="J914" s="910" t="s">
        <v>2750</v>
      </c>
      <c r="K914" s="909">
        <v>1</v>
      </c>
      <c r="L914" s="909">
        <v>4</v>
      </c>
      <c r="M914" s="907">
        <v>23486.93</v>
      </c>
      <c r="N914" s="908">
        <v>1</v>
      </c>
      <c r="O914" s="908">
        <v>6</v>
      </c>
      <c r="P914" s="907">
        <v>34044.9</v>
      </c>
      <c r="R914" s="890"/>
    </row>
    <row r="915" spans="1:18" s="276" customFormat="1" ht="15.95" customHeight="1">
      <c r="A915" s="908" t="s">
        <v>3199</v>
      </c>
      <c r="B915" s="908" t="s">
        <v>1402</v>
      </c>
      <c r="C915" s="908" t="s">
        <v>96</v>
      </c>
      <c r="D915" s="910" t="s">
        <v>3223</v>
      </c>
      <c r="E915" s="907">
        <v>3500</v>
      </c>
      <c r="F915" s="908" t="s">
        <v>3233</v>
      </c>
      <c r="G915" s="910" t="s">
        <v>3234</v>
      </c>
      <c r="H915" s="911" t="s">
        <v>2750</v>
      </c>
      <c r="I915" s="911" t="s">
        <v>1420</v>
      </c>
      <c r="J915" s="910" t="s">
        <v>2750</v>
      </c>
      <c r="K915" s="909">
        <v>1</v>
      </c>
      <c r="L915" s="909">
        <v>3</v>
      </c>
      <c r="M915" s="907">
        <v>9423.5300000000007</v>
      </c>
      <c r="N915" s="908">
        <v>1</v>
      </c>
      <c r="O915" s="908">
        <v>6</v>
      </c>
      <c r="P915" s="907">
        <v>22044.9</v>
      </c>
      <c r="R915" s="890"/>
    </row>
    <row r="916" spans="1:18" s="276" customFormat="1" ht="15.95" customHeight="1">
      <c r="A916" s="908" t="s">
        <v>3199</v>
      </c>
      <c r="B916" s="908" t="s">
        <v>1402</v>
      </c>
      <c r="C916" s="908" t="s">
        <v>96</v>
      </c>
      <c r="D916" s="910" t="s">
        <v>3223</v>
      </c>
      <c r="E916" s="907">
        <v>5500</v>
      </c>
      <c r="F916" s="908" t="s">
        <v>3235</v>
      </c>
      <c r="G916" s="910" t="s">
        <v>3236</v>
      </c>
      <c r="H916" s="911" t="s">
        <v>2750</v>
      </c>
      <c r="I916" s="911" t="s">
        <v>2863</v>
      </c>
      <c r="J916" s="910" t="s">
        <v>2750</v>
      </c>
      <c r="K916" s="909">
        <v>1</v>
      </c>
      <c r="L916" s="909">
        <v>12</v>
      </c>
      <c r="M916" s="907">
        <v>57260.800000000003</v>
      </c>
      <c r="N916" s="908">
        <v>1</v>
      </c>
      <c r="O916" s="908">
        <v>6</v>
      </c>
      <c r="P916" s="907">
        <v>34044.9</v>
      </c>
      <c r="R916" s="890"/>
    </row>
    <row r="917" spans="1:18" s="276" customFormat="1" ht="15.95" customHeight="1">
      <c r="A917" s="908" t="s">
        <v>3199</v>
      </c>
      <c r="B917" s="908" t="s">
        <v>1402</v>
      </c>
      <c r="C917" s="908" t="s">
        <v>96</v>
      </c>
      <c r="D917" s="910" t="s">
        <v>3223</v>
      </c>
      <c r="E917" s="907">
        <v>3500</v>
      </c>
      <c r="F917" s="908" t="s">
        <v>3237</v>
      </c>
      <c r="G917" s="910" t="s">
        <v>3238</v>
      </c>
      <c r="H917" s="911" t="s">
        <v>2743</v>
      </c>
      <c r="I917" s="911" t="s">
        <v>1420</v>
      </c>
      <c r="J917" s="910" t="s">
        <v>2743</v>
      </c>
      <c r="K917" s="909">
        <v>1</v>
      </c>
      <c r="L917" s="909">
        <v>1</v>
      </c>
      <c r="M917" s="907">
        <v>4313.3999999999996</v>
      </c>
      <c r="N917" s="908">
        <v>1</v>
      </c>
      <c r="O917" s="908">
        <v>6</v>
      </c>
      <c r="P917" s="907">
        <v>22044.9</v>
      </c>
      <c r="R917" s="890"/>
    </row>
    <row r="918" spans="1:18" s="276" customFormat="1" ht="15.95" customHeight="1">
      <c r="A918" s="908" t="s">
        <v>3199</v>
      </c>
      <c r="B918" s="908" t="s">
        <v>1402</v>
      </c>
      <c r="C918" s="908" t="s">
        <v>96</v>
      </c>
      <c r="D918" s="910" t="s">
        <v>3223</v>
      </c>
      <c r="E918" s="907">
        <v>5500</v>
      </c>
      <c r="F918" s="908" t="s">
        <v>3239</v>
      </c>
      <c r="G918" s="910" t="s">
        <v>3240</v>
      </c>
      <c r="H918" s="911" t="s">
        <v>3226</v>
      </c>
      <c r="I918" s="911" t="s">
        <v>2863</v>
      </c>
      <c r="J918" s="910" t="s">
        <v>2750</v>
      </c>
      <c r="K918" s="909">
        <v>1</v>
      </c>
      <c r="L918" s="909">
        <v>12</v>
      </c>
      <c r="M918" s="907">
        <v>53660.800000000003</v>
      </c>
      <c r="N918" s="908">
        <v>1</v>
      </c>
      <c r="O918" s="908">
        <v>6</v>
      </c>
      <c r="P918" s="907">
        <v>34044.9</v>
      </c>
      <c r="R918" s="890"/>
    </row>
    <row r="919" spans="1:18" s="276" customFormat="1" ht="15.95" customHeight="1">
      <c r="A919" s="908" t="s">
        <v>3199</v>
      </c>
      <c r="B919" s="908" t="s">
        <v>1402</v>
      </c>
      <c r="C919" s="908" t="s">
        <v>96</v>
      </c>
      <c r="D919" s="910" t="s">
        <v>3223</v>
      </c>
      <c r="E919" s="907">
        <v>5500</v>
      </c>
      <c r="F919" s="908" t="s">
        <v>3241</v>
      </c>
      <c r="G919" s="910" t="s">
        <v>3242</v>
      </c>
      <c r="H919" s="911" t="s">
        <v>3226</v>
      </c>
      <c r="I919" s="911" t="s">
        <v>2863</v>
      </c>
      <c r="J919" s="910" t="s">
        <v>2750</v>
      </c>
      <c r="K919" s="909">
        <v>1</v>
      </c>
      <c r="L919" s="909">
        <v>12</v>
      </c>
      <c r="M919" s="907">
        <v>49760.800000000003</v>
      </c>
      <c r="N919" s="908">
        <v>1</v>
      </c>
      <c r="O919" s="908">
        <v>6</v>
      </c>
      <c r="P919" s="907">
        <v>34044.9</v>
      </c>
      <c r="R919" s="890"/>
    </row>
    <row r="920" spans="1:18" s="276" customFormat="1" ht="15.95" customHeight="1">
      <c r="A920" s="908" t="s">
        <v>3199</v>
      </c>
      <c r="B920" s="908" t="s">
        <v>1402</v>
      </c>
      <c r="C920" s="908" t="s">
        <v>96</v>
      </c>
      <c r="D920" s="910" t="s">
        <v>3223</v>
      </c>
      <c r="E920" s="907">
        <v>4000</v>
      </c>
      <c r="F920" s="908" t="s">
        <v>3243</v>
      </c>
      <c r="G920" s="910" t="s">
        <v>3244</v>
      </c>
      <c r="H920" s="911" t="s">
        <v>2750</v>
      </c>
      <c r="I920" s="911" t="s">
        <v>1420</v>
      </c>
      <c r="J920" s="910" t="s">
        <v>2750</v>
      </c>
      <c r="K920" s="909">
        <v>1</v>
      </c>
      <c r="L920" s="909">
        <v>12</v>
      </c>
      <c r="M920" s="907">
        <v>50254.14</v>
      </c>
      <c r="N920" s="908">
        <v>1</v>
      </c>
      <c r="O920" s="908">
        <v>6</v>
      </c>
      <c r="P920" s="907">
        <v>25044.9</v>
      </c>
      <c r="R920" s="890"/>
    </row>
    <row r="921" spans="1:18" s="276" customFormat="1" ht="15.95" customHeight="1">
      <c r="A921" s="908" t="s">
        <v>3199</v>
      </c>
      <c r="B921" s="908" t="s">
        <v>1402</v>
      </c>
      <c r="C921" s="908" t="s">
        <v>96</v>
      </c>
      <c r="D921" s="910" t="s">
        <v>3223</v>
      </c>
      <c r="E921" s="907">
        <v>5500</v>
      </c>
      <c r="F921" s="908" t="s">
        <v>3245</v>
      </c>
      <c r="G921" s="910" t="s">
        <v>3246</v>
      </c>
      <c r="H921" s="911" t="s">
        <v>2743</v>
      </c>
      <c r="I921" s="911" t="s">
        <v>2863</v>
      </c>
      <c r="J921" s="910" t="s">
        <v>2743</v>
      </c>
      <c r="K921" s="909">
        <v>1</v>
      </c>
      <c r="L921" s="909">
        <v>3</v>
      </c>
      <c r="M921" s="907">
        <v>16390.2</v>
      </c>
      <c r="N921" s="908">
        <v>1</v>
      </c>
      <c r="O921" s="908">
        <v>6</v>
      </c>
      <c r="P921" s="907">
        <v>34044.9</v>
      </c>
      <c r="R921" s="890"/>
    </row>
    <row r="922" spans="1:18" s="276" customFormat="1" ht="15.95" customHeight="1">
      <c r="A922" s="908" t="s">
        <v>3199</v>
      </c>
      <c r="B922" s="908" t="s">
        <v>1402</v>
      </c>
      <c r="C922" s="908" t="s">
        <v>96</v>
      </c>
      <c r="D922" s="910" t="s">
        <v>3223</v>
      </c>
      <c r="E922" s="907">
        <v>15000</v>
      </c>
      <c r="F922" s="908" t="s">
        <v>3247</v>
      </c>
      <c r="G922" s="910" t="s">
        <v>3248</v>
      </c>
      <c r="H922" s="911" t="s">
        <v>2750</v>
      </c>
      <c r="I922" s="911" t="s">
        <v>2863</v>
      </c>
      <c r="J922" s="910" t="s">
        <v>2750</v>
      </c>
      <c r="K922" s="909">
        <v>1</v>
      </c>
      <c r="L922" s="909">
        <v>12</v>
      </c>
      <c r="M922" s="907">
        <v>174260.8</v>
      </c>
      <c r="N922" s="908">
        <v>1</v>
      </c>
      <c r="O922" s="908">
        <v>6</v>
      </c>
      <c r="P922" s="907">
        <v>89544.9</v>
      </c>
      <c r="R922" s="890"/>
    </row>
    <row r="923" spans="1:18" s="276" customFormat="1" ht="24">
      <c r="A923" s="908" t="s">
        <v>3199</v>
      </c>
      <c r="B923" s="908" t="s">
        <v>1402</v>
      </c>
      <c r="C923" s="908" t="s">
        <v>96</v>
      </c>
      <c r="D923" s="910" t="s">
        <v>3223</v>
      </c>
      <c r="E923" s="907">
        <v>7000</v>
      </c>
      <c r="F923" s="908" t="s">
        <v>3249</v>
      </c>
      <c r="G923" s="910" t="s">
        <v>3250</v>
      </c>
      <c r="H923" s="911" t="s">
        <v>2750</v>
      </c>
      <c r="I923" s="911" t="s">
        <v>2863</v>
      </c>
      <c r="J923" s="910" t="s">
        <v>2750</v>
      </c>
      <c r="K923" s="909">
        <v>1</v>
      </c>
      <c r="L923" s="909">
        <v>12</v>
      </c>
      <c r="M923" s="907">
        <v>86260.800000000003</v>
      </c>
      <c r="N923" s="908">
        <v>1</v>
      </c>
      <c r="O923" s="908">
        <v>6</v>
      </c>
      <c r="P923" s="907">
        <v>43044.9</v>
      </c>
      <c r="R923" s="890"/>
    </row>
    <row r="924" spans="1:18" s="276" customFormat="1" ht="15.95" customHeight="1">
      <c r="A924" s="908" t="s">
        <v>3199</v>
      </c>
      <c r="B924" s="908" t="s">
        <v>1402</v>
      </c>
      <c r="C924" s="908" t="s">
        <v>96</v>
      </c>
      <c r="D924" s="910" t="s">
        <v>3223</v>
      </c>
      <c r="E924" s="907">
        <v>6000</v>
      </c>
      <c r="F924" s="908" t="s">
        <v>3251</v>
      </c>
      <c r="G924" s="910" t="s">
        <v>3252</v>
      </c>
      <c r="H924" s="911" t="s">
        <v>2750</v>
      </c>
      <c r="I924" s="911" t="s">
        <v>2863</v>
      </c>
      <c r="J924" s="910" t="s">
        <v>2750</v>
      </c>
      <c r="K924" s="909">
        <v>1</v>
      </c>
      <c r="L924" s="909">
        <v>12</v>
      </c>
      <c r="M924" s="907">
        <v>74260.800000000003</v>
      </c>
      <c r="N924" s="908">
        <v>1</v>
      </c>
      <c r="O924" s="908">
        <v>6</v>
      </c>
      <c r="P924" s="907">
        <v>37044.9</v>
      </c>
      <c r="R924" s="890"/>
    </row>
    <row r="925" spans="1:18" s="276" customFormat="1" ht="15.95" customHeight="1">
      <c r="A925" s="908" t="s">
        <v>3199</v>
      </c>
      <c r="B925" s="908" t="s">
        <v>1402</v>
      </c>
      <c r="C925" s="908" t="s">
        <v>96</v>
      </c>
      <c r="D925" s="910" t="s">
        <v>3223</v>
      </c>
      <c r="E925" s="907">
        <v>2300</v>
      </c>
      <c r="F925" s="908" t="s">
        <v>3253</v>
      </c>
      <c r="G925" s="910" t="s">
        <v>3254</v>
      </c>
      <c r="H925" s="911" t="s">
        <v>1432</v>
      </c>
      <c r="I925" s="911" t="s">
        <v>1407</v>
      </c>
      <c r="J925" s="910" t="s">
        <v>3255</v>
      </c>
      <c r="K925" s="909">
        <v>1</v>
      </c>
      <c r="L925" s="909">
        <v>12</v>
      </c>
      <c r="M925" s="907">
        <v>29854.139999999996</v>
      </c>
      <c r="N925" s="908">
        <v>1</v>
      </c>
      <c r="O925" s="908">
        <v>6</v>
      </c>
      <c r="P925" s="907">
        <v>14844.9</v>
      </c>
      <c r="R925" s="890"/>
    </row>
    <row r="926" spans="1:18" s="276" customFormat="1" ht="15.95" customHeight="1">
      <c r="A926" s="908" t="s">
        <v>3199</v>
      </c>
      <c r="B926" s="908" t="s">
        <v>1402</v>
      </c>
      <c r="C926" s="908" t="s">
        <v>96</v>
      </c>
      <c r="D926" s="910" t="s">
        <v>3223</v>
      </c>
      <c r="E926" s="907">
        <v>5000</v>
      </c>
      <c r="F926" s="908" t="s">
        <v>3256</v>
      </c>
      <c r="G926" s="910" t="s">
        <v>3257</v>
      </c>
      <c r="H926" s="911" t="s">
        <v>2743</v>
      </c>
      <c r="I926" s="911" t="s">
        <v>2863</v>
      </c>
      <c r="J926" s="910" t="s">
        <v>2743</v>
      </c>
      <c r="K926" s="909">
        <v>1</v>
      </c>
      <c r="L926" s="909">
        <v>12</v>
      </c>
      <c r="M926" s="907">
        <v>62760.800000000003</v>
      </c>
      <c r="N926" s="908">
        <v>1</v>
      </c>
      <c r="O926" s="908">
        <v>6</v>
      </c>
      <c r="P926" s="907">
        <v>31044.9</v>
      </c>
      <c r="R926" s="890"/>
    </row>
    <row r="927" spans="1:18" s="276" customFormat="1" ht="15.95" customHeight="1">
      <c r="A927" s="908" t="s">
        <v>3199</v>
      </c>
      <c r="B927" s="908" t="s">
        <v>1402</v>
      </c>
      <c r="C927" s="908" t="s">
        <v>96</v>
      </c>
      <c r="D927" s="910" t="s">
        <v>3223</v>
      </c>
      <c r="E927" s="907">
        <v>7000</v>
      </c>
      <c r="F927" s="908" t="s">
        <v>3258</v>
      </c>
      <c r="G927" s="910" t="s">
        <v>3259</v>
      </c>
      <c r="H927" s="911" t="s">
        <v>2750</v>
      </c>
      <c r="I927" s="911" t="s">
        <v>2863</v>
      </c>
      <c r="J927" s="910" t="s">
        <v>2750</v>
      </c>
      <c r="K927" s="909">
        <v>1</v>
      </c>
      <c r="L927" s="909">
        <v>12</v>
      </c>
      <c r="M927" s="907">
        <v>86260.800000000003</v>
      </c>
      <c r="N927" s="908">
        <v>1</v>
      </c>
      <c r="O927" s="908">
        <v>6</v>
      </c>
      <c r="P927" s="907">
        <v>43044.9</v>
      </c>
      <c r="R927" s="890"/>
    </row>
    <row r="928" spans="1:18" s="276" customFormat="1" ht="15.95" customHeight="1">
      <c r="A928" s="908" t="s">
        <v>3199</v>
      </c>
      <c r="B928" s="908" t="s">
        <v>1402</v>
      </c>
      <c r="C928" s="908" t="s">
        <v>96</v>
      </c>
      <c r="D928" s="910" t="s">
        <v>3223</v>
      </c>
      <c r="E928" s="907">
        <v>5000</v>
      </c>
      <c r="F928" s="908" t="s">
        <v>3260</v>
      </c>
      <c r="G928" s="910" t="s">
        <v>3261</v>
      </c>
      <c r="H928" s="911" t="s">
        <v>2750</v>
      </c>
      <c r="I928" s="911" t="s">
        <v>2863</v>
      </c>
      <c r="J928" s="910" t="s">
        <v>2750</v>
      </c>
      <c r="K928" s="909">
        <v>1</v>
      </c>
      <c r="L928" s="909">
        <v>12</v>
      </c>
      <c r="M928" s="907">
        <v>64260.800000000003</v>
      </c>
      <c r="N928" s="908">
        <v>1</v>
      </c>
      <c r="O928" s="908">
        <v>6</v>
      </c>
      <c r="P928" s="907">
        <v>31044.9</v>
      </c>
      <c r="R928" s="890"/>
    </row>
    <row r="929" spans="1:18" s="276" customFormat="1" ht="15.95" customHeight="1">
      <c r="A929" s="908" t="s">
        <v>3199</v>
      </c>
      <c r="B929" s="908" t="s">
        <v>1402</v>
      </c>
      <c r="C929" s="908" t="s">
        <v>96</v>
      </c>
      <c r="D929" s="910" t="s">
        <v>3223</v>
      </c>
      <c r="E929" s="907">
        <v>2500</v>
      </c>
      <c r="F929" s="908" t="s">
        <v>3262</v>
      </c>
      <c r="G929" s="910" t="s">
        <v>3263</v>
      </c>
      <c r="H929" s="911" t="s">
        <v>3264</v>
      </c>
      <c r="I929" s="911" t="s">
        <v>1407</v>
      </c>
      <c r="J929" s="910" t="s">
        <v>3255</v>
      </c>
      <c r="K929" s="909">
        <v>1</v>
      </c>
      <c r="L929" s="909">
        <v>12</v>
      </c>
      <c r="M929" s="907">
        <v>31844.13</v>
      </c>
      <c r="N929" s="908">
        <v>1</v>
      </c>
      <c r="O929" s="908">
        <v>6</v>
      </c>
      <c r="P929" s="907">
        <v>16044.9</v>
      </c>
      <c r="R929" s="890"/>
    </row>
    <row r="930" spans="1:18" s="276" customFormat="1" ht="15.95" customHeight="1">
      <c r="A930" s="908" t="s">
        <v>3199</v>
      </c>
      <c r="B930" s="908" t="s">
        <v>1402</v>
      </c>
      <c r="C930" s="908" t="s">
        <v>96</v>
      </c>
      <c r="D930" s="910" t="s">
        <v>3223</v>
      </c>
      <c r="E930" s="907">
        <v>5500</v>
      </c>
      <c r="F930" s="908" t="s">
        <v>3265</v>
      </c>
      <c r="G930" s="910" t="s">
        <v>3266</v>
      </c>
      <c r="H930" s="911" t="s">
        <v>3226</v>
      </c>
      <c r="I930" s="911" t="s">
        <v>2863</v>
      </c>
      <c r="J930" s="910" t="s">
        <v>2750</v>
      </c>
      <c r="K930" s="909">
        <v>1</v>
      </c>
      <c r="L930" s="909">
        <v>4</v>
      </c>
      <c r="M930" s="907">
        <v>23670.269999999997</v>
      </c>
      <c r="N930" s="908">
        <v>1</v>
      </c>
      <c r="O930" s="908">
        <v>6</v>
      </c>
      <c r="P930" s="907">
        <v>34044.9</v>
      </c>
      <c r="R930" s="890"/>
    </row>
    <row r="931" spans="1:18" s="276" customFormat="1" ht="15.95" customHeight="1">
      <c r="A931" s="908" t="s">
        <v>3199</v>
      </c>
      <c r="B931" s="908" t="s">
        <v>1402</v>
      </c>
      <c r="C931" s="908" t="s">
        <v>96</v>
      </c>
      <c r="D931" s="910" t="s">
        <v>3223</v>
      </c>
      <c r="E931" s="907">
        <v>7000</v>
      </c>
      <c r="F931" s="908" t="s">
        <v>3267</v>
      </c>
      <c r="G931" s="910" t="s">
        <v>3268</v>
      </c>
      <c r="H931" s="911" t="s">
        <v>2750</v>
      </c>
      <c r="I931" s="911" t="s">
        <v>2863</v>
      </c>
      <c r="J931" s="910" t="s">
        <v>2750</v>
      </c>
      <c r="K931" s="909">
        <v>1</v>
      </c>
      <c r="L931" s="909">
        <v>12</v>
      </c>
      <c r="M931" s="907">
        <v>86247.46</v>
      </c>
      <c r="N931" s="908">
        <v>1</v>
      </c>
      <c r="O931" s="908">
        <v>6</v>
      </c>
      <c r="P931" s="907">
        <v>43044.9</v>
      </c>
      <c r="R931" s="890"/>
    </row>
    <row r="932" spans="1:18" s="276" customFormat="1" ht="15.95" customHeight="1">
      <c r="A932" s="908" t="s">
        <v>3199</v>
      </c>
      <c r="B932" s="908" t="s">
        <v>1402</v>
      </c>
      <c r="C932" s="908" t="s">
        <v>96</v>
      </c>
      <c r="D932" s="910" t="s">
        <v>3223</v>
      </c>
      <c r="E932" s="907">
        <v>7000</v>
      </c>
      <c r="F932" s="908" t="s">
        <v>3269</v>
      </c>
      <c r="G932" s="910" t="s">
        <v>3270</v>
      </c>
      <c r="H932" s="911" t="s">
        <v>2743</v>
      </c>
      <c r="I932" s="911" t="s">
        <v>2863</v>
      </c>
      <c r="J932" s="910" t="s">
        <v>2743</v>
      </c>
      <c r="K932" s="909">
        <v>1</v>
      </c>
      <c r="L932" s="909">
        <v>12</v>
      </c>
      <c r="M932" s="907">
        <v>86260.800000000003</v>
      </c>
      <c r="N932" s="908">
        <v>1</v>
      </c>
      <c r="O932" s="908">
        <v>6</v>
      </c>
      <c r="P932" s="907">
        <v>43044.9</v>
      </c>
      <c r="R932" s="890"/>
    </row>
    <row r="933" spans="1:18" s="276" customFormat="1" ht="15.95" customHeight="1">
      <c r="A933" s="908" t="s">
        <v>3199</v>
      </c>
      <c r="B933" s="908" t="s">
        <v>1402</v>
      </c>
      <c r="C933" s="908" t="s">
        <v>96</v>
      </c>
      <c r="D933" s="910" t="s">
        <v>3223</v>
      </c>
      <c r="E933" s="907">
        <v>6000</v>
      </c>
      <c r="F933" s="908" t="s">
        <v>3271</v>
      </c>
      <c r="G933" s="910" t="s">
        <v>3272</v>
      </c>
      <c r="H933" s="911" t="s">
        <v>2750</v>
      </c>
      <c r="I933" s="911" t="s">
        <v>2863</v>
      </c>
      <c r="J933" s="910" t="s">
        <v>2750</v>
      </c>
      <c r="K933" s="909">
        <v>1</v>
      </c>
      <c r="L933" s="909">
        <v>12</v>
      </c>
      <c r="M933" s="907">
        <v>73460.800000000003</v>
      </c>
      <c r="N933" s="908">
        <v>1</v>
      </c>
      <c r="O933" s="908">
        <v>6</v>
      </c>
      <c r="P933" s="907">
        <v>37044.9</v>
      </c>
      <c r="R933" s="890"/>
    </row>
    <row r="934" spans="1:18" s="276" customFormat="1" ht="15.95" customHeight="1">
      <c r="A934" s="908" t="s">
        <v>3199</v>
      </c>
      <c r="B934" s="908" t="s">
        <v>1402</v>
      </c>
      <c r="C934" s="908" t="s">
        <v>96</v>
      </c>
      <c r="D934" s="910" t="s">
        <v>3223</v>
      </c>
      <c r="E934" s="907">
        <v>5000</v>
      </c>
      <c r="F934" s="908" t="s">
        <v>3273</v>
      </c>
      <c r="G934" s="910" t="s">
        <v>3274</v>
      </c>
      <c r="H934" s="911" t="s">
        <v>3226</v>
      </c>
      <c r="I934" s="911" t="s">
        <v>2863</v>
      </c>
      <c r="J934" s="910" t="s">
        <v>2750</v>
      </c>
      <c r="K934" s="909">
        <v>1</v>
      </c>
      <c r="L934" s="909">
        <v>12</v>
      </c>
      <c r="M934" s="907">
        <v>63460.800000000003</v>
      </c>
      <c r="N934" s="908">
        <v>1</v>
      </c>
      <c r="O934" s="908">
        <v>6</v>
      </c>
      <c r="P934" s="907">
        <v>31044.9</v>
      </c>
      <c r="R934" s="890"/>
    </row>
    <row r="935" spans="1:18" s="276" customFormat="1" ht="24">
      <c r="A935" s="908" t="s">
        <v>3199</v>
      </c>
      <c r="B935" s="908" t="s">
        <v>1402</v>
      </c>
      <c r="C935" s="908" t="s">
        <v>96</v>
      </c>
      <c r="D935" s="910" t="s">
        <v>3223</v>
      </c>
      <c r="E935" s="907">
        <v>8000</v>
      </c>
      <c r="F935" s="908" t="s">
        <v>3275</v>
      </c>
      <c r="G935" s="910" t="s">
        <v>3276</v>
      </c>
      <c r="H935" s="911" t="s">
        <v>3226</v>
      </c>
      <c r="I935" s="911" t="s">
        <v>2863</v>
      </c>
      <c r="J935" s="910" t="s">
        <v>2750</v>
      </c>
      <c r="K935" s="909">
        <v>1</v>
      </c>
      <c r="L935" s="909">
        <v>12</v>
      </c>
      <c r="M935" s="907">
        <v>98260.800000000003</v>
      </c>
      <c r="N935" s="908">
        <v>1</v>
      </c>
      <c r="O935" s="908">
        <v>6</v>
      </c>
      <c r="P935" s="907">
        <v>49044.9</v>
      </c>
      <c r="R935" s="890"/>
    </row>
    <row r="936" spans="1:18" s="276" customFormat="1" ht="15.95" customHeight="1">
      <c r="A936" s="908" t="s">
        <v>3199</v>
      </c>
      <c r="B936" s="908" t="s">
        <v>1402</v>
      </c>
      <c r="C936" s="908" t="s">
        <v>96</v>
      </c>
      <c r="D936" s="910" t="s">
        <v>3223</v>
      </c>
      <c r="E936" s="907">
        <v>3500</v>
      </c>
      <c r="F936" s="908" t="s">
        <v>3277</v>
      </c>
      <c r="G936" s="910" t="s">
        <v>3278</v>
      </c>
      <c r="H936" s="911" t="s">
        <v>2750</v>
      </c>
      <c r="I936" s="911" t="s">
        <v>1420</v>
      </c>
      <c r="J936" s="910" t="s">
        <v>2750</v>
      </c>
      <c r="K936" s="909">
        <v>1</v>
      </c>
      <c r="L936" s="909">
        <v>3</v>
      </c>
      <c r="M936" s="907">
        <v>9423.5300000000007</v>
      </c>
      <c r="N936" s="908">
        <v>1</v>
      </c>
      <c r="O936" s="908">
        <v>6</v>
      </c>
      <c r="P936" s="907">
        <v>22044.9</v>
      </c>
      <c r="R936" s="890"/>
    </row>
    <row r="937" spans="1:18" s="276" customFormat="1" ht="15.95" customHeight="1">
      <c r="A937" s="908" t="s">
        <v>3199</v>
      </c>
      <c r="B937" s="908" t="s">
        <v>1402</v>
      </c>
      <c r="C937" s="908" t="s">
        <v>96</v>
      </c>
      <c r="D937" s="910" t="s">
        <v>3223</v>
      </c>
      <c r="E937" s="907">
        <v>7000</v>
      </c>
      <c r="F937" s="908" t="s">
        <v>3279</v>
      </c>
      <c r="G937" s="910" t="s">
        <v>3280</v>
      </c>
      <c r="H937" s="911" t="s">
        <v>2750</v>
      </c>
      <c r="I937" s="911" t="s">
        <v>2863</v>
      </c>
      <c r="J937" s="910" t="s">
        <v>2750</v>
      </c>
      <c r="K937" s="909">
        <v>1</v>
      </c>
      <c r="L937" s="909">
        <v>10</v>
      </c>
      <c r="M937" s="907">
        <v>69000.67</v>
      </c>
      <c r="N937" s="908">
        <v>1</v>
      </c>
      <c r="O937" s="908">
        <v>6</v>
      </c>
      <c r="P937" s="907">
        <v>61816.57</v>
      </c>
      <c r="R937" s="890"/>
    </row>
    <row r="938" spans="1:18" s="276" customFormat="1" ht="15.95" customHeight="1">
      <c r="A938" s="908" t="s">
        <v>3199</v>
      </c>
      <c r="B938" s="908" t="s">
        <v>1402</v>
      </c>
      <c r="C938" s="908" t="s">
        <v>96</v>
      </c>
      <c r="D938" s="910" t="s">
        <v>3223</v>
      </c>
      <c r="E938" s="907">
        <v>7000</v>
      </c>
      <c r="F938" s="908" t="s">
        <v>3281</v>
      </c>
      <c r="G938" s="910" t="s">
        <v>3282</v>
      </c>
      <c r="H938" s="911" t="s">
        <v>2750</v>
      </c>
      <c r="I938" s="911" t="s">
        <v>2863</v>
      </c>
      <c r="J938" s="910" t="s">
        <v>2750</v>
      </c>
      <c r="K938" s="909">
        <v>1</v>
      </c>
      <c r="L938" s="909">
        <v>12</v>
      </c>
      <c r="M938" s="907">
        <v>86260.800000000003</v>
      </c>
      <c r="N938" s="908">
        <v>1</v>
      </c>
      <c r="O938" s="908">
        <v>6</v>
      </c>
      <c r="P938" s="907">
        <v>43044.9</v>
      </c>
      <c r="R938" s="890"/>
    </row>
    <row r="939" spans="1:18" s="276" customFormat="1" ht="15.95" customHeight="1">
      <c r="A939" s="908" t="s">
        <v>3199</v>
      </c>
      <c r="B939" s="908" t="s">
        <v>1402</v>
      </c>
      <c r="C939" s="908" t="s">
        <v>96</v>
      </c>
      <c r="D939" s="910" t="s">
        <v>3223</v>
      </c>
      <c r="E939" s="907">
        <v>2800</v>
      </c>
      <c r="F939" s="908" t="s">
        <v>3283</v>
      </c>
      <c r="G939" s="910" t="s">
        <v>3284</v>
      </c>
      <c r="H939" s="911" t="s">
        <v>3285</v>
      </c>
      <c r="I939" s="911" t="s">
        <v>1407</v>
      </c>
      <c r="J939" s="910" t="s">
        <v>3285</v>
      </c>
      <c r="K939" s="909">
        <v>1</v>
      </c>
      <c r="L939" s="909">
        <v>12</v>
      </c>
      <c r="M939" s="907">
        <v>35854.14</v>
      </c>
      <c r="N939" s="908">
        <v>1</v>
      </c>
      <c r="O939" s="908">
        <v>6</v>
      </c>
      <c r="P939" s="907">
        <v>17844.900000000001</v>
      </c>
      <c r="R939" s="890"/>
    </row>
    <row r="940" spans="1:18" s="276" customFormat="1" ht="15.95" customHeight="1">
      <c r="A940" s="908" t="s">
        <v>3199</v>
      </c>
      <c r="B940" s="908" t="s">
        <v>1402</v>
      </c>
      <c r="C940" s="908" t="s">
        <v>96</v>
      </c>
      <c r="D940" s="910" t="s">
        <v>3223</v>
      </c>
      <c r="E940" s="907">
        <v>7000</v>
      </c>
      <c r="F940" s="908" t="s">
        <v>3286</v>
      </c>
      <c r="G940" s="910" t="s">
        <v>3287</v>
      </c>
      <c r="H940" s="911" t="s">
        <v>2743</v>
      </c>
      <c r="I940" s="911" t="s">
        <v>2863</v>
      </c>
      <c r="J940" s="910" t="s">
        <v>2743</v>
      </c>
      <c r="K940" s="909">
        <v>1</v>
      </c>
      <c r="L940" s="909">
        <v>12</v>
      </c>
      <c r="M940" s="907">
        <v>86260.800000000003</v>
      </c>
      <c r="N940" s="908">
        <v>1</v>
      </c>
      <c r="O940" s="908">
        <v>6</v>
      </c>
      <c r="P940" s="907">
        <v>43044.9</v>
      </c>
      <c r="R940" s="890"/>
    </row>
    <row r="941" spans="1:18" s="276" customFormat="1" ht="15.95" customHeight="1">
      <c r="A941" s="908" t="s">
        <v>3199</v>
      </c>
      <c r="B941" s="908" t="s">
        <v>1402</v>
      </c>
      <c r="C941" s="908" t="s">
        <v>96</v>
      </c>
      <c r="D941" s="910" t="s">
        <v>3223</v>
      </c>
      <c r="E941" s="907">
        <v>3500</v>
      </c>
      <c r="F941" s="908" t="s">
        <v>3288</v>
      </c>
      <c r="G941" s="910" t="s">
        <v>3289</v>
      </c>
      <c r="H941" s="911" t="s">
        <v>2750</v>
      </c>
      <c r="I941" s="911" t="s">
        <v>2863</v>
      </c>
      <c r="J941" s="910" t="s">
        <v>2750</v>
      </c>
      <c r="K941" s="909">
        <v>1</v>
      </c>
      <c r="L941" s="909">
        <v>12</v>
      </c>
      <c r="M941" s="907">
        <v>44260.800000000003</v>
      </c>
      <c r="N941" s="908">
        <v>1</v>
      </c>
      <c r="O941" s="908">
        <v>6</v>
      </c>
      <c r="P941" s="907">
        <v>22044.9</v>
      </c>
      <c r="R941" s="890"/>
    </row>
    <row r="942" spans="1:18" s="276" customFormat="1" ht="15.95" customHeight="1">
      <c r="A942" s="908" t="s">
        <v>3199</v>
      </c>
      <c r="B942" s="908" t="s">
        <v>1402</v>
      </c>
      <c r="C942" s="908" t="s">
        <v>96</v>
      </c>
      <c r="D942" s="910" t="s">
        <v>3223</v>
      </c>
      <c r="E942" s="907">
        <v>2500</v>
      </c>
      <c r="F942" s="908" t="s">
        <v>3290</v>
      </c>
      <c r="G942" s="910" t="s">
        <v>3291</v>
      </c>
      <c r="H942" s="911" t="s">
        <v>1478</v>
      </c>
      <c r="I942" s="911" t="s">
        <v>2863</v>
      </c>
      <c r="J942" s="910" t="s">
        <v>1478</v>
      </c>
      <c r="K942" s="909">
        <v>1</v>
      </c>
      <c r="L942" s="909">
        <v>12</v>
      </c>
      <c r="M942" s="907">
        <v>32260.799999999999</v>
      </c>
      <c r="N942" s="908">
        <v>1</v>
      </c>
      <c r="O942" s="908">
        <v>6</v>
      </c>
      <c r="P942" s="907">
        <v>15211.57</v>
      </c>
      <c r="R942" s="890"/>
    </row>
    <row r="943" spans="1:18" s="276" customFormat="1" ht="24">
      <c r="A943" s="908" t="s">
        <v>3199</v>
      </c>
      <c r="B943" s="908" t="s">
        <v>1402</v>
      </c>
      <c r="C943" s="908" t="s">
        <v>96</v>
      </c>
      <c r="D943" s="910" t="s">
        <v>3223</v>
      </c>
      <c r="E943" s="907">
        <v>8000</v>
      </c>
      <c r="F943" s="908" t="s">
        <v>3292</v>
      </c>
      <c r="G943" s="910" t="s">
        <v>3293</v>
      </c>
      <c r="H943" s="911" t="s">
        <v>3226</v>
      </c>
      <c r="I943" s="911" t="s">
        <v>2863</v>
      </c>
      <c r="J943" s="910" t="s">
        <v>2750</v>
      </c>
      <c r="K943" s="909">
        <v>1</v>
      </c>
      <c r="L943" s="909">
        <v>12</v>
      </c>
      <c r="M943" s="907">
        <v>94260.800000000003</v>
      </c>
      <c r="N943" s="908">
        <v>1</v>
      </c>
      <c r="O943" s="908">
        <v>6</v>
      </c>
      <c r="P943" s="907">
        <v>49044.9</v>
      </c>
      <c r="R943" s="890"/>
    </row>
    <row r="944" spans="1:18" s="276" customFormat="1" ht="15.95" customHeight="1">
      <c r="A944" s="908" t="s">
        <v>3199</v>
      </c>
      <c r="B944" s="908" t="s">
        <v>1402</v>
      </c>
      <c r="C944" s="908" t="s">
        <v>96</v>
      </c>
      <c r="D944" s="910" t="s">
        <v>3223</v>
      </c>
      <c r="E944" s="907">
        <v>7000</v>
      </c>
      <c r="F944" s="908" t="s">
        <v>3294</v>
      </c>
      <c r="G944" s="910" t="s">
        <v>3295</v>
      </c>
      <c r="H944" s="911" t="s">
        <v>2750</v>
      </c>
      <c r="I944" s="911" t="s">
        <v>2863</v>
      </c>
      <c r="J944" s="910" t="s">
        <v>2750</v>
      </c>
      <c r="K944" s="909">
        <v>1</v>
      </c>
      <c r="L944" s="909">
        <v>12</v>
      </c>
      <c r="M944" s="907">
        <v>86260.800000000003</v>
      </c>
      <c r="N944" s="908">
        <v>1</v>
      </c>
      <c r="O944" s="908">
        <v>6</v>
      </c>
      <c r="P944" s="907">
        <v>43044.9</v>
      </c>
      <c r="R944" s="890"/>
    </row>
    <row r="945" spans="1:18" s="276" customFormat="1" ht="15.95" customHeight="1">
      <c r="A945" s="908" t="s">
        <v>3199</v>
      </c>
      <c r="B945" s="908" t="s">
        <v>1402</v>
      </c>
      <c r="C945" s="908" t="s">
        <v>96</v>
      </c>
      <c r="D945" s="910" t="s">
        <v>3296</v>
      </c>
      <c r="E945" s="907">
        <v>7000</v>
      </c>
      <c r="F945" s="908" t="s">
        <v>3297</v>
      </c>
      <c r="G945" s="910" t="s">
        <v>3298</v>
      </c>
      <c r="H945" s="911" t="s">
        <v>2750</v>
      </c>
      <c r="I945" s="911" t="s">
        <v>2863</v>
      </c>
      <c r="J945" s="910" t="s">
        <v>2750</v>
      </c>
      <c r="K945" s="909">
        <v>1</v>
      </c>
      <c r="L945" s="909">
        <v>12</v>
      </c>
      <c r="M945" s="907">
        <v>65860.800000000003</v>
      </c>
      <c r="N945" s="908">
        <v>1</v>
      </c>
      <c r="O945" s="908">
        <v>6</v>
      </c>
      <c r="P945" s="907">
        <v>43044.9</v>
      </c>
      <c r="R945" s="890"/>
    </row>
    <row r="946" spans="1:18" s="276" customFormat="1" ht="15.95" customHeight="1">
      <c r="A946" s="908" t="s">
        <v>3199</v>
      </c>
      <c r="B946" s="908" t="s">
        <v>1402</v>
      </c>
      <c r="C946" s="908" t="s">
        <v>96</v>
      </c>
      <c r="D946" s="910" t="s">
        <v>3296</v>
      </c>
      <c r="E946" s="907">
        <v>7000</v>
      </c>
      <c r="F946" s="908" t="s">
        <v>3299</v>
      </c>
      <c r="G946" s="910" t="s">
        <v>3300</v>
      </c>
      <c r="H946" s="911" t="s">
        <v>2743</v>
      </c>
      <c r="I946" s="911" t="s">
        <v>2863</v>
      </c>
      <c r="J946" s="910" t="s">
        <v>2743</v>
      </c>
      <c r="K946" s="909">
        <v>1</v>
      </c>
      <c r="L946" s="909">
        <v>12</v>
      </c>
      <c r="M946" s="907">
        <v>86260.800000000003</v>
      </c>
      <c r="N946" s="908">
        <v>1</v>
      </c>
      <c r="O946" s="908">
        <v>6</v>
      </c>
      <c r="P946" s="907">
        <v>43044.9</v>
      </c>
      <c r="R946" s="890"/>
    </row>
    <row r="947" spans="1:18" s="276" customFormat="1" ht="15.95" customHeight="1">
      <c r="A947" s="908" t="s">
        <v>3199</v>
      </c>
      <c r="B947" s="908" t="s">
        <v>1402</v>
      </c>
      <c r="C947" s="908" t="s">
        <v>96</v>
      </c>
      <c r="D947" s="910" t="s">
        <v>3296</v>
      </c>
      <c r="E947" s="907">
        <v>3500</v>
      </c>
      <c r="F947" s="908" t="s">
        <v>3301</v>
      </c>
      <c r="G947" s="910" t="s">
        <v>3302</v>
      </c>
      <c r="H947" s="911" t="s">
        <v>3303</v>
      </c>
      <c r="I947" s="911" t="s">
        <v>2863</v>
      </c>
      <c r="J947" s="910" t="s">
        <v>2743</v>
      </c>
      <c r="K947" s="909">
        <v>1</v>
      </c>
      <c r="L947" s="909">
        <v>12</v>
      </c>
      <c r="M947" s="907">
        <v>44260.800000000003</v>
      </c>
      <c r="N947" s="908">
        <v>1</v>
      </c>
      <c r="O947" s="908">
        <v>6</v>
      </c>
      <c r="P947" s="907">
        <v>22044.9</v>
      </c>
      <c r="R947" s="890"/>
    </row>
    <row r="948" spans="1:18" s="276" customFormat="1" ht="15.95" customHeight="1">
      <c r="A948" s="908" t="s">
        <v>3199</v>
      </c>
      <c r="B948" s="908" t="s">
        <v>1402</v>
      </c>
      <c r="C948" s="908" t="s">
        <v>96</v>
      </c>
      <c r="D948" s="910" t="s">
        <v>3296</v>
      </c>
      <c r="E948" s="907">
        <v>3500</v>
      </c>
      <c r="F948" s="908" t="s">
        <v>3304</v>
      </c>
      <c r="G948" s="910" t="s">
        <v>3305</v>
      </c>
      <c r="H948" s="911" t="s">
        <v>1478</v>
      </c>
      <c r="I948" s="911" t="s">
        <v>2863</v>
      </c>
      <c r="J948" s="910" t="s">
        <v>1478</v>
      </c>
      <c r="K948" s="909">
        <v>1</v>
      </c>
      <c r="L948" s="909">
        <v>12</v>
      </c>
      <c r="M948" s="907">
        <v>35127.47</v>
      </c>
      <c r="N948" s="908">
        <v>1</v>
      </c>
      <c r="O948" s="908">
        <v>6</v>
      </c>
      <c r="P948" s="907">
        <v>22044.9</v>
      </c>
      <c r="R948" s="890"/>
    </row>
    <row r="949" spans="1:18" s="276" customFormat="1" ht="15.95" customHeight="1">
      <c r="A949" s="908" t="s">
        <v>3199</v>
      </c>
      <c r="B949" s="908" t="s">
        <v>1402</v>
      </c>
      <c r="C949" s="908" t="s">
        <v>96</v>
      </c>
      <c r="D949" s="910" t="s">
        <v>3296</v>
      </c>
      <c r="E949" s="907">
        <v>6000</v>
      </c>
      <c r="F949" s="908" t="s">
        <v>3306</v>
      </c>
      <c r="G949" s="910" t="s">
        <v>3307</v>
      </c>
      <c r="H949" s="911" t="s">
        <v>2750</v>
      </c>
      <c r="I949" s="911" t="s">
        <v>2863</v>
      </c>
      <c r="J949" s="910" t="s">
        <v>2750</v>
      </c>
      <c r="K949" s="909">
        <v>1</v>
      </c>
      <c r="L949" s="909">
        <v>12</v>
      </c>
      <c r="M949" s="907">
        <v>74260.800000000003</v>
      </c>
      <c r="N949" s="908">
        <v>1</v>
      </c>
      <c r="O949" s="908">
        <v>6</v>
      </c>
      <c r="P949" s="907">
        <v>37044.9</v>
      </c>
      <c r="R949" s="890"/>
    </row>
    <row r="950" spans="1:18" s="276" customFormat="1" ht="15.95" customHeight="1">
      <c r="A950" s="908" t="s">
        <v>3199</v>
      </c>
      <c r="B950" s="908" t="s">
        <v>1402</v>
      </c>
      <c r="C950" s="908" t="s">
        <v>96</v>
      </c>
      <c r="D950" s="910" t="s">
        <v>3296</v>
      </c>
      <c r="E950" s="907">
        <v>4000</v>
      </c>
      <c r="F950" s="908" t="s">
        <v>3308</v>
      </c>
      <c r="G950" s="910" t="s">
        <v>3309</v>
      </c>
      <c r="H950" s="911" t="s">
        <v>2743</v>
      </c>
      <c r="I950" s="911" t="s">
        <v>2863</v>
      </c>
      <c r="J950" s="910" t="s">
        <v>3310</v>
      </c>
      <c r="K950" s="909">
        <v>1</v>
      </c>
      <c r="L950" s="909">
        <v>12</v>
      </c>
      <c r="M950" s="907">
        <v>50260.800000000003</v>
      </c>
      <c r="N950" s="908">
        <v>1</v>
      </c>
      <c r="O950" s="908">
        <v>6</v>
      </c>
      <c r="P950" s="907">
        <v>25044.9</v>
      </c>
      <c r="R950" s="890"/>
    </row>
    <row r="951" spans="1:18" s="276" customFormat="1" ht="15.95" customHeight="1">
      <c r="A951" s="908" t="s">
        <v>3199</v>
      </c>
      <c r="B951" s="908" t="s">
        <v>1402</v>
      </c>
      <c r="C951" s="908" t="s">
        <v>96</v>
      </c>
      <c r="D951" s="910" t="s">
        <v>3296</v>
      </c>
      <c r="E951" s="907">
        <v>2500</v>
      </c>
      <c r="F951" s="908" t="s">
        <v>3311</v>
      </c>
      <c r="G951" s="910" t="s">
        <v>3312</v>
      </c>
      <c r="H951" s="911" t="s">
        <v>2750</v>
      </c>
      <c r="I951" s="911" t="s">
        <v>2863</v>
      </c>
      <c r="J951" s="910" t="s">
        <v>2750</v>
      </c>
      <c r="K951" s="909">
        <v>1</v>
      </c>
      <c r="L951" s="909">
        <v>12</v>
      </c>
      <c r="M951" s="907">
        <v>32240.799999999999</v>
      </c>
      <c r="N951" s="908">
        <v>1</v>
      </c>
      <c r="O951" s="908">
        <v>6</v>
      </c>
      <c r="P951" s="907">
        <v>16044.9</v>
      </c>
      <c r="R951" s="890"/>
    </row>
    <row r="952" spans="1:18" s="276" customFormat="1" ht="15.95" customHeight="1">
      <c r="A952" s="908" t="s">
        <v>3199</v>
      </c>
      <c r="B952" s="908" t="s">
        <v>1402</v>
      </c>
      <c r="C952" s="908" t="s">
        <v>96</v>
      </c>
      <c r="D952" s="910" t="s">
        <v>3296</v>
      </c>
      <c r="E952" s="907">
        <v>7000</v>
      </c>
      <c r="F952" s="908" t="s">
        <v>3313</v>
      </c>
      <c r="G952" s="910" t="s">
        <v>3314</v>
      </c>
      <c r="H952" s="911" t="s">
        <v>2883</v>
      </c>
      <c r="I952" s="911" t="s">
        <v>2863</v>
      </c>
      <c r="J952" s="910" t="s">
        <v>2883</v>
      </c>
      <c r="K952" s="909">
        <v>1</v>
      </c>
      <c r="L952" s="909">
        <v>12</v>
      </c>
      <c r="M952" s="907">
        <v>86260.800000000003</v>
      </c>
      <c r="N952" s="908">
        <v>1</v>
      </c>
      <c r="O952" s="908">
        <v>6</v>
      </c>
      <c r="P952" s="907">
        <v>43044.9</v>
      </c>
      <c r="R952" s="890"/>
    </row>
    <row r="953" spans="1:18" s="276" customFormat="1" ht="15.95" customHeight="1">
      <c r="A953" s="908" t="s">
        <v>3199</v>
      </c>
      <c r="B953" s="908" t="s">
        <v>1402</v>
      </c>
      <c r="C953" s="908" t="s">
        <v>96</v>
      </c>
      <c r="D953" s="910" t="s">
        <v>3296</v>
      </c>
      <c r="E953" s="907">
        <v>6950</v>
      </c>
      <c r="F953" s="908" t="s">
        <v>3315</v>
      </c>
      <c r="G953" s="910" t="s">
        <v>3316</v>
      </c>
      <c r="H953" s="911" t="s">
        <v>2750</v>
      </c>
      <c r="I953" s="911" t="s">
        <v>2863</v>
      </c>
      <c r="J953" s="910" t="s">
        <v>2750</v>
      </c>
      <c r="K953" s="909">
        <v>1</v>
      </c>
      <c r="L953" s="909">
        <v>12</v>
      </c>
      <c r="M953" s="907">
        <v>85660.800000000003</v>
      </c>
      <c r="N953" s="908">
        <v>1</v>
      </c>
      <c r="O953" s="908">
        <v>6</v>
      </c>
      <c r="P953" s="907">
        <v>42744.9</v>
      </c>
      <c r="R953" s="890"/>
    </row>
    <row r="954" spans="1:18" s="276" customFormat="1" ht="15.95" customHeight="1">
      <c r="A954" s="908" t="s">
        <v>3199</v>
      </c>
      <c r="B954" s="908" t="s">
        <v>1402</v>
      </c>
      <c r="C954" s="908" t="s">
        <v>96</v>
      </c>
      <c r="D954" s="910" t="s">
        <v>3296</v>
      </c>
      <c r="E954" s="907">
        <v>7000</v>
      </c>
      <c r="F954" s="908" t="s">
        <v>3317</v>
      </c>
      <c r="G954" s="910" t="s">
        <v>2700</v>
      </c>
      <c r="H954" s="911" t="s">
        <v>2750</v>
      </c>
      <c r="I954" s="911" t="s">
        <v>2863</v>
      </c>
      <c r="J954" s="910" t="s">
        <v>2750</v>
      </c>
      <c r="K954" s="909">
        <v>1</v>
      </c>
      <c r="L954" s="909">
        <v>7</v>
      </c>
      <c r="M954" s="907">
        <v>43393.8</v>
      </c>
      <c r="N954" s="908"/>
      <c r="O954" s="908"/>
      <c r="P954" s="907"/>
      <c r="R954" s="890"/>
    </row>
    <row r="955" spans="1:18" s="276" customFormat="1" ht="24">
      <c r="A955" s="908" t="s">
        <v>3199</v>
      </c>
      <c r="B955" s="908" t="s">
        <v>1402</v>
      </c>
      <c r="C955" s="908" t="s">
        <v>96</v>
      </c>
      <c r="D955" s="910" t="s">
        <v>3318</v>
      </c>
      <c r="E955" s="907">
        <v>7000</v>
      </c>
      <c r="F955" s="908" t="s">
        <v>3319</v>
      </c>
      <c r="G955" s="910" t="s">
        <v>3320</v>
      </c>
      <c r="H955" s="911" t="s">
        <v>2743</v>
      </c>
      <c r="I955" s="911" t="s">
        <v>2863</v>
      </c>
      <c r="J955" s="910" t="s">
        <v>2743</v>
      </c>
      <c r="K955" s="909">
        <v>1</v>
      </c>
      <c r="L955" s="909">
        <v>12</v>
      </c>
      <c r="M955" s="907">
        <v>86260.800000000003</v>
      </c>
      <c r="N955" s="908">
        <v>1</v>
      </c>
      <c r="O955" s="908">
        <v>6</v>
      </c>
      <c r="P955" s="907">
        <v>43044.9</v>
      </c>
      <c r="R955" s="890"/>
    </row>
    <row r="956" spans="1:18" s="276" customFormat="1" ht="24">
      <c r="A956" s="908" t="s">
        <v>3199</v>
      </c>
      <c r="B956" s="908" t="s">
        <v>1402</v>
      </c>
      <c r="C956" s="908" t="s">
        <v>96</v>
      </c>
      <c r="D956" s="910" t="s">
        <v>3318</v>
      </c>
      <c r="E956" s="907">
        <v>4000</v>
      </c>
      <c r="F956" s="908" t="s">
        <v>3321</v>
      </c>
      <c r="G956" s="910" t="s">
        <v>3322</v>
      </c>
      <c r="H956" s="911" t="s">
        <v>3323</v>
      </c>
      <c r="I956" s="911" t="s">
        <v>2863</v>
      </c>
      <c r="J956" s="910" t="s">
        <v>3323</v>
      </c>
      <c r="K956" s="909">
        <v>1</v>
      </c>
      <c r="L956" s="909">
        <v>9</v>
      </c>
      <c r="M956" s="907">
        <v>37653.93</v>
      </c>
      <c r="N956" s="908"/>
      <c r="O956" s="908"/>
      <c r="P956" s="907"/>
      <c r="R956" s="890"/>
    </row>
    <row r="957" spans="1:18" s="276" customFormat="1" ht="24">
      <c r="A957" s="908" t="s">
        <v>3199</v>
      </c>
      <c r="B957" s="908" t="s">
        <v>1402</v>
      </c>
      <c r="C957" s="908" t="s">
        <v>96</v>
      </c>
      <c r="D957" s="910" t="s">
        <v>3318</v>
      </c>
      <c r="E957" s="907">
        <v>5500</v>
      </c>
      <c r="F957" s="908" t="s">
        <v>3324</v>
      </c>
      <c r="G957" s="910" t="s">
        <v>3325</v>
      </c>
      <c r="H957" s="911" t="s">
        <v>2743</v>
      </c>
      <c r="I957" s="911" t="s">
        <v>2863</v>
      </c>
      <c r="J957" s="910" t="s">
        <v>2743</v>
      </c>
      <c r="K957" s="909">
        <v>1</v>
      </c>
      <c r="L957" s="909">
        <v>1</v>
      </c>
      <c r="M957" s="907">
        <v>3780.07</v>
      </c>
      <c r="N957" s="908">
        <v>1</v>
      </c>
      <c r="O957" s="908">
        <v>6</v>
      </c>
      <c r="P957" s="907">
        <v>34044.9</v>
      </c>
      <c r="R957" s="890"/>
    </row>
    <row r="958" spans="1:18" s="276" customFormat="1" ht="24">
      <c r="A958" s="908" t="s">
        <v>3199</v>
      </c>
      <c r="B958" s="908" t="s">
        <v>1402</v>
      </c>
      <c r="C958" s="908" t="s">
        <v>96</v>
      </c>
      <c r="D958" s="910" t="s">
        <v>3318</v>
      </c>
      <c r="E958" s="907">
        <v>9000</v>
      </c>
      <c r="F958" s="908" t="s">
        <v>3326</v>
      </c>
      <c r="G958" s="910" t="s">
        <v>3327</v>
      </c>
      <c r="H958" s="911" t="s">
        <v>2743</v>
      </c>
      <c r="I958" s="911" t="s">
        <v>2863</v>
      </c>
      <c r="J958" s="910" t="s">
        <v>2743</v>
      </c>
      <c r="K958" s="909">
        <v>1</v>
      </c>
      <c r="L958" s="909">
        <v>12</v>
      </c>
      <c r="M958" s="907">
        <v>110254.14</v>
      </c>
      <c r="N958" s="908">
        <v>1</v>
      </c>
      <c r="O958" s="908">
        <v>6</v>
      </c>
      <c r="P958" s="907">
        <v>55044.9</v>
      </c>
      <c r="R958" s="890"/>
    </row>
    <row r="959" spans="1:18" s="276" customFormat="1" ht="24">
      <c r="A959" s="908" t="s">
        <v>3199</v>
      </c>
      <c r="B959" s="908" t="s">
        <v>1402</v>
      </c>
      <c r="C959" s="908" t="s">
        <v>96</v>
      </c>
      <c r="D959" s="910" t="s">
        <v>3318</v>
      </c>
      <c r="E959" s="907">
        <v>5500</v>
      </c>
      <c r="F959" s="908" t="s">
        <v>3328</v>
      </c>
      <c r="G959" s="910" t="s">
        <v>3329</v>
      </c>
      <c r="H959" s="911" t="s">
        <v>3323</v>
      </c>
      <c r="I959" s="911" t="s">
        <v>2863</v>
      </c>
      <c r="J959" s="910" t="s">
        <v>3323</v>
      </c>
      <c r="K959" s="909">
        <v>1</v>
      </c>
      <c r="L959" s="909">
        <v>12</v>
      </c>
      <c r="M959" s="907">
        <v>66760.800000000003</v>
      </c>
      <c r="N959" s="908">
        <v>1</v>
      </c>
      <c r="O959" s="908">
        <v>6</v>
      </c>
      <c r="P959" s="907">
        <v>34044.9</v>
      </c>
      <c r="R959" s="890"/>
    </row>
    <row r="960" spans="1:18" s="276" customFormat="1" ht="24">
      <c r="A960" s="908" t="s">
        <v>3199</v>
      </c>
      <c r="B960" s="908" t="s">
        <v>1402</v>
      </c>
      <c r="C960" s="908" t="s">
        <v>96</v>
      </c>
      <c r="D960" s="910" t="s">
        <v>3318</v>
      </c>
      <c r="E960" s="907">
        <v>5000</v>
      </c>
      <c r="F960" s="908" t="s">
        <v>3330</v>
      </c>
      <c r="G960" s="910" t="s">
        <v>3331</v>
      </c>
      <c r="H960" s="911" t="s">
        <v>3323</v>
      </c>
      <c r="I960" s="911" t="s">
        <v>2863</v>
      </c>
      <c r="J960" s="910" t="s">
        <v>3323</v>
      </c>
      <c r="K960" s="909"/>
      <c r="L960" s="909"/>
      <c r="M960" s="907"/>
      <c r="N960" s="908">
        <v>1</v>
      </c>
      <c r="O960" s="908">
        <v>6</v>
      </c>
      <c r="P960" s="907">
        <v>30711.57</v>
      </c>
      <c r="R960" s="890"/>
    </row>
    <row r="961" spans="1:18" s="276" customFormat="1" ht="24">
      <c r="A961" s="908" t="s">
        <v>3199</v>
      </c>
      <c r="B961" s="908" t="s">
        <v>1402</v>
      </c>
      <c r="C961" s="908" t="s">
        <v>96</v>
      </c>
      <c r="D961" s="910" t="s">
        <v>3318</v>
      </c>
      <c r="E961" s="907">
        <v>9000</v>
      </c>
      <c r="F961" s="908" t="s">
        <v>3332</v>
      </c>
      <c r="G961" s="910" t="s">
        <v>3333</v>
      </c>
      <c r="H961" s="911" t="s">
        <v>3323</v>
      </c>
      <c r="I961" s="911" t="s">
        <v>2863</v>
      </c>
      <c r="J961" s="910" t="s">
        <v>3323</v>
      </c>
      <c r="K961" s="909">
        <v>1</v>
      </c>
      <c r="L961" s="909">
        <v>12</v>
      </c>
      <c r="M961" s="907">
        <v>110260.8</v>
      </c>
      <c r="N961" s="908">
        <v>1</v>
      </c>
      <c r="O961" s="908">
        <v>6</v>
      </c>
      <c r="P961" s="907">
        <v>55044.9</v>
      </c>
      <c r="R961" s="890"/>
    </row>
    <row r="962" spans="1:18" s="276" customFormat="1" ht="24">
      <c r="A962" s="908" t="s">
        <v>3199</v>
      </c>
      <c r="B962" s="908" t="s">
        <v>1402</v>
      </c>
      <c r="C962" s="908" t="s">
        <v>96</v>
      </c>
      <c r="D962" s="910" t="s">
        <v>3318</v>
      </c>
      <c r="E962" s="907">
        <v>5500</v>
      </c>
      <c r="F962" s="908" t="s">
        <v>3334</v>
      </c>
      <c r="G962" s="910" t="s">
        <v>3335</v>
      </c>
      <c r="H962" s="911" t="s">
        <v>3323</v>
      </c>
      <c r="I962" s="911" t="s">
        <v>2863</v>
      </c>
      <c r="J962" s="910" t="s">
        <v>3323</v>
      </c>
      <c r="K962" s="909">
        <v>1</v>
      </c>
      <c r="L962" s="909">
        <v>12</v>
      </c>
      <c r="M962" s="907">
        <v>68260.800000000003</v>
      </c>
      <c r="N962" s="908">
        <v>1</v>
      </c>
      <c r="O962" s="908">
        <v>6</v>
      </c>
      <c r="P962" s="907">
        <v>34044.9</v>
      </c>
      <c r="R962" s="890"/>
    </row>
    <row r="963" spans="1:18" s="276" customFormat="1" ht="24">
      <c r="A963" s="908" t="s">
        <v>3199</v>
      </c>
      <c r="B963" s="908" t="s">
        <v>1402</v>
      </c>
      <c r="C963" s="908" t="s">
        <v>96</v>
      </c>
      <c r="D963" s="910" t="s">
        <v>3318</v>
      </c>
      <c r="E963" s="907">
        <v>2800</v>
      </c>
      <c r="F963" s="908" t="s">
        <v>3336</v>
      </c>
      <c r="G963" s="910" t="s">
        <v>3337</v>
      </c>
      <c r="H963" s="911" t="s">
        <v>1478</v>
      </c>
      <c r="I963" s="911" t="s">
        <v>2863</v>
      </c>
      <c r="J963" s="910" t="s">
        <v>1478</v>
      </c>
      <c r="K963" s="909">
        <v>1</v>
      </c>
      <c r="L963" s="909">
        <v>12</v>
      </c>
      <c r="M963" s="907">
        <v>36754.130000000005</v>
      </c>
      <c r="N963" s="908">
        <v>1</v>
      </c>
      <c r="O963" s="908">
        <v>4</v>
      </c>
      <c r="P963" s="907">
        <v>11614.6</v>
      </c>
      <c r="R963" s="890"/>
    </row>
    <row r="964" spans="1:18" s="276" customFormat="1" ht="24">
      <c r="A964" s="908" t="s">
        <v>3199</v>
      </c>
      <c r="B964" s="908" t="s">
        <v>1402</v>
      </c>
      <c r="C964" s="908" t="s">
        <v>96</v>
      </c>
      <c r="D964" s="910" t="s">
        <v>3318</v>
      </c>
      <c r="E964" s="907">
        <v>5500</v>
      </c>
      <c r="F964" s="908" t="s">
        <v>3338</v>
      </c>
      <c r="G964" s="910" t="s">
        <v>3339</v>
      </c>
      <c r="H964" s="911" t="s">
        <v>3323</v>
      </c>
      <c r="I964" s="911" t="s">
        <v>2863</v>
      </c>
      <c r="J964" s="910" t="s">
        <v>3323</v>
      </c>
      <c r="K964" s="909">
        <v>1</v>
      </c>
      <c r="L964" s="909">
        <v>12</v>
      </c>
      <c r="M964" s="907">
        <v>69760.800000000003</v>
      </c>
      <c r="N964" s="908">
        <v>1</v>
      </c>
      <c r="O964" s="908">
        <v>6</v>
      </c>
      <c r="P964" s="907">
        <v>34044.9</v>
      </c>
      <c r="R964" s="890"/>
    </row>
    <row r="965" spans="1:18" s="276" customFormat="1" ht="24">
      <c r="A965" s="908" t="s">
        <v>3199</v>
      </c>
      <c r="B965" s="908" t="s">
        <v>1402</v>
      </c>
      <c r="C965" s="908" t="s">
        <v>96</v>
      </c>
      <c r="D965" s="910" t="s">
        <v>3318</v>
      </c>
      <c r="E965" s="907">
        <v>6000</v>
      </c>
      <c r="F965" s="908" t="s">
        <v>3340</v>
      </c>
      <c r="G965" s="910" t="s">
        <v>3341</v>
      </c>
      <c r="H965" s="911" t="s">
        <v>3323</v>
      </c>
      <c r="I965" s="911" t="s">
        <v>2863</v>
      </c>
      <c r="J965" s="910" t="s">
        <v>3323</v>
      </c>
      <c r="K965" s="909">
        <v>1</v>
      </c>
      <c r="L965" s="909">
        <v>12</v>
      </c>
      <c r="M965" s="907">
        <v>68977.47</v>
      </c>
      <c r="N965" s="908">
        <v>1</v>
      </c>
      <c r="O965" s="908">
        <v>6</v>
      </c>
      <c r="P965" s="907">
        <v>37044.9</v>
      </c>
      <c r="R965" s="890"/>
    </row>
    <row r="966" spans="1:18" s="276" customFormat="1" ht="24">
      <c r="A966" s="908" t="s">
        <v>3199</v>
      </c>
      <c r="B966" s="908" t="s">
        <v>1402</v>
      </c>
      <c r="C966" s="908" t="s">
        <v>96</v>
      </c>
      <c r="D966" s="910" t="s">
        <v>3318</v>
      </c>
      <c r="E966" s="907">
        <v>2500</v>
      </c>
      <c r="F966" s="908" t="s">
        <v>3342</v>
      </c>
      <c r="G966" s="910" t="s">
        <v>3343</v>
      </c>
      <c r="H966" s="911" t="s">
        <v>1478</v>
      </c>
      <c r="I966" s="911" t="s">
        <v>2863</v>
      </c>
      <c r="J966" s="910" t="s">
        <v>1478</v>
      </c>
      <c r="K966" s="909">
        <v>1</v>
      </c>
      <c r="L966" s="909">
        <v>1</v>
      </c>
      <c r="M966" s="907">
        <v>8213.4</v>
      </c>
      <c r="N966" s="908"/>
      <c r="O966" s="908"/>
      <c r="P966" s="907"/>
      <c r="R966" s="890"/>
    </row>
    <row r="967" spans="1:18" s="276" customFormat="1" ht="24">
      <c r="A967" s="908" t="s">
        <v>3199</v>
      </c>
      <c r="B967" s="908" t="s">
        <v>1402</v>
      </c>
      <c r="C967" s="908" t="s">
        <v>96</v>
      </c>
      <c r="D967" s="910" t="s">
        <v>3318</v>
      </c>
      <c r="E967" s="907">
        <v>6000</v>
      </c>
      <c r="F967" s="908" t="s">
        <v>3344</v>
      </c>
      <c r="G967" s="910" t="s">
        <v>3345</v>
      </c>
      <c r="H967" s="911" t="s">
        <v>3323</v>
      </c>
      <c r="I967" s="911" t="s">
        <v>2863</v>
      </c>
      <c r="J967" s="910" t="s">
        <v>3323</v>
      </c>
      <c r="K967" s="909">
        <v>1</v>
      </c>
      <c r="L967" s="909">
        <v>2</v>
      </c>
      <c r="M967" s="907">
        <v>10726.8</v>
      </c>
      <c r="N967" s="908"/>
      <c r="O967" s="908"/>
      <c r="P967" s="907"/>
      <c r="R967" s="890"/>
    </row>
    <row r="968" spans="1:18" s="276" customFormat="1" ht="24">
      <c r="A968" s="908" t="s">
        <v>3199</v>
      </c>
      <c r="B968" s="908" t="s">
        <v>1402</v>
      </c>
      <c r="C968" s="908" t="s">
        <v>96</v>
      </c>
      <c r="D968" s="910" t="s">
        <v>3318</v>
      </c>
      <c r="E968" s="907">
        <v>5600</v>
      </c>
      <c r="F968" s="908" t="s">
        <v>3346</v>
      </c>
      <c r="G968" s="910" t="s">
        <v>3347</v>
      </c>
      <c r="H968" s="911" t="s">
        <v>3323</v>
      </c>
      <c r="I968" s="911" t="s">
        <v>2863</v>
      </c>
      <c r="J968" s="910" t="s">
        <v>3323</v>
      </c>
      <c r="K968" s="909">
        <v>1</v>
      </c>
      <c r="L968" s="909">
        <v>2</v>
      </c>
      <c r="M968" s="907">
        <v>10126.799999999999</v>
      </c>
      <c r="N968" s="908"/>
      <c r="O968" s="908"/>
      <c r="P968" s="907"/>
      <c r="R968" s="890"/>
    </row>
    <row r="969" spans="1:18" s="276" customFormat="1" ht="24">
      <c r="A969" s="908" t="s">
        <v>3199</v>
      </c>
      <c r="B969" s="908" t="s">
        <v>1402</v>
      </c>
      <c r="C969" s="908" t="s">
        <v>96</v>
      </c>
      <c r="D969" s="910" t="s">
        <v>3318</v>
      </c>
      <c r="E969" s="907">
        <v>5500</v>
      </c>
      <c r="F969" s="908" t="s">
        <v>3348</v>
      </c>
      <c r="G969" s="910" t="s">
        <v>3349</v>
      </c>
      <c r="H969" s="911" t="s">
        <v>2743</v>
      </c>
      <c r="I969" s="911" t="s">
        <v>2863</v>
      </c>
      <c r="J969" s="910" t="s">
        <v>2743</v>
      </c>
      <c r="K969" s="909">
        <v>1</v>
      </c>
      <c r="L969" s="909">
        <v>12</v>
      </c>
      <c r="M969" s="907">
        <v>65257.47</v>
      </c>
      <c r="N969" s="908">
        <v>1</v>
      </c>
      <c r="O969" s="908">
        <v>6</v>
      </c>
      <c r="P969" s="907">
        <v>34044.9</v>
      </c>
      <c r="R969" s="890"/>
    </row>
    <row r="970" spans="1:18" s="276" customFormat="1" ht="24">
      <c r="A970" s="908" t="s">
        <v>3199</v>
      </c>
      <c r="B970" s="908" t="s">
        <v>1402</v>
      </c>
      <c r="C970" s="908" t="s">
        <v>96</v>
      </c>
      <c r="D970" s="910" t="s">
        <v>3318</v>
      </c>
      <c r="E970" s="907">
        <v>5500</v>
      </c>
      <c r="F970" s="908" t="s">
        <v>3350</v>
      </c>
      <c r="G970" s="910" t="s">
        <v>3351</v>
      </c>
      <c r="H970" s="911" t="s">
        <v>3323</v>
      </c>
      <c r="I970" s="911" t="s">
        <v>2863</v>
      </c>
      <c r="J970" s="910" t="s">
        <v>3323</v>
      </c>
      <c r="K970" s="909">
        <v>1</v>
      </c>
      <c r="L970" s="909">
        <v>12</v>
      </c>
      <c r="M970" s="907">
        <v>67760.800000000003</v>
      </c>
      <c r="N970" s="908">
        <v>1</v>
      </c>
      <c r="O970" s="908">
        <v>6</v>
      </c>
      <c r="P970" s="907">
        <v>34044.9</v>
      </c>
      <c r="R970" s="890"/>
    </row>
    <row r="971" spans="1:18" s="276" customFormat="1" ht="24">
      <c r="A971" s="908" t="s">
        <v>3199</v>
      </c>
      <c r="B971" s="908" t="s">
        <v>1402</v>
      </c>
      <c r="C971" s="908" t="s">
        <v>96</v>
      </c>
      <c r="D971" s="910" t="s">
        <v>3318</v>
      </c>
      <c r="E971" s="907">
        <v>5500</v>
      </c>
      <c r="F971" s="908" t="s">
        <v>3352</v>
      </c>
      <c r="G971" s="910" t="s">
        <v>3353</v>
      </c>
      <c r="H971" s="911" t="s">
        <v>3323</v>
      </c>
      <c r="I971" s="911" t="s">
        <v>2863</v>
      </c>
      <c r="J971" s="910" t="s">
        <v>3323</v>
      </c>
      <c r="K971" s="909">
        <v>1</v>
      </c>
      <c r="L971" s="909">
        <v>12</v>
      </c>
      <c r="M971" s="907">
        <v>64957.47</v>
      </c>
      <c r="N971" s="908">
        <v>1</v>
      </c>
      <c r="O971" s="908">
        <v>6</v>
      </c>
      <c r="P971" s="907">
        <v>34044.9</v>
      </c>
      <c r="R971" s="890"/>
    </row>
    <row r="972" spans="1:18" s="276" customFormat="1" ht="24">
      <c r="A972" s="908" t="s">
        <v>3199</v>
      </c>
      <c r="B972" s="908" t="s">
        <v>1402</v>
      </c>
      <c r="C972" s="908" t="s">
        <v>96</v>
      </c>
      <c r="D972" s="910" t="s">
        <v>3318</v>
      </c>
      <c r="E972" s="907">
        <v>5000</v>
      </c>
      <c r="F972" s="908" t="s">
        <v>3354</v>
      </c>
      <c r="G972" s="910" t="s">
        <v>3355</v>
      </c>
      <c r="H972" s="911" t="s">
        <v>2743</v>
      </c>
      <c r="I972" s="911" t="s">
        <v>1420</v>
      </c>
      <c r="J972" s="910" t="s">
        <v>2743</v>
      </c>
      <c r="K972" s="909"/>
      <c r="L972" s="909"/>
      <c r="M972" s="907"/>
      <c r="N972" s="908">
        <v>1</v>
      </c>
      <c r="O972" s="908">
        <v>6</v>
      </c>
      <c r="P972" s="907">
        <v>30711.57</v>
      </c>
      <c r="R972" s="890"/>
    </row>
    <row r="973" spans="1:18" s="276" customFormat="1" ht="24">
      <c r="A973" s="908" t="s">
        <v>3199</v>
      </c>
      <c r="B973" s="908" t="s">
        <v>1402</v>
      </c>
      <c r="C973" s="908" t="s">
        <v>96</v>
      </c>
      <c r="D973" s="910" t="s">
        <v>3318</v>
      </c>
      <c r="E973" s="907">
        <v>4000</v>
      </c>
      <c r="F973" s="908" t="s">
        <v>3356</v>
      </c>
      <c r="G973" s="910" t="s">
        <v>3357</v>
      </c>
      <c r="H973" s="911" t="s">
        <v>2743</v>
      </c>
      <c r="I973" s="911" t="s">
        <v>1420</v>
      </c>
      <c r="J973" s="910" t="s">
        <v>2743</v>
      </c>
      <c r="K973" s="909">
        <v>1</v>
      </c>
      <c r="L973" s="909">
        <v>2</v>
      </c>
      <c r="M973" s="907">
        <v>7693.47</v>
      </c>
      <c r="N973" s="908">
        <v>1</v>
      </c>
      <c r="O973" s="908">
        <v>6</v>
      </c>
      <c r="P973" s="907">
        <v>25044.9</v>
      </c>
      <c r="R973" s="890"/>
    </row>
    <row r="974" spans="1:18" s="276" customFormat="1" ht="24">
      <c r="A974" s="908" t="s">
        <v>3199</v>
      </c>
      <c r="B974" s="908" t="s">
        <v>1402</v>
      </c>
      <c r="C974" s="908" t="s">
        <v>96</v>
      </c>
      <c r="D974" s="910" t="s">
        <v>3318</v>
      </c>
      <c r="E974" s="907">
        <v>5000</v>
      </c>
      <c r="F974" s="908" t="s">
        <v>3358</v>
      </c>
      <c r="G974" s="910" t="s">
        <v>3359</v>
      </c>
      <c r="H974" s="911" t="s">
        <v>3323</v>
      </c>
      <c r="I974" s="911" t="s">
        <v>2863</v>
      </c>
      <c r="J974" s="910" t="s">
        <v>3323</v>
      </c>
      <c r="K974" s="909">
        <v>1</v>
      </c>
      <c r="L974" s="909">
        <v>2</v>
      </c>
      <c r="M974" s="907">
        <v>12026.8</v>
      </c>
      <c r="N974" s="908"/>
      <c r="O974" s="908"/>
      <c r="P974" s="907"/>
      <c r="R974" s="890"/>
    </row>
    <row r="975" spans="1:18" s="276" customFormat="1" ht="24">
      <c r="A975" s="908" t="s">
        <v>3199</v>
      </c>
      <c r="B975" s="908" t="s">
        <v>1402</v>
      </c>
      <c r="C975" s="908" t="s">
        <v>96</v>
      </c>
      <c r="D975" s="910" t="s">
        <v>3318</v>
      </c>
      <c r="E975" s="907">
        <v>5500</v>
      </c>
      <c r="F975" s="908" t="s">
        <v>3360</v>
      </c>
      <c r="G975" s="910" t="s">
        <v>3361</v>
      </c>
      <c r="H975" s="911" t="s">
        <v>2743</v>
      </c>
      <c r="I975" s="911" t="s">
        <v>2863</v>
      </c>
      <c r="J975" s="910" t="s">
        <v>2743</v>
      </c>
      <c r="K975" s="909">
        <v>1</v>
      </c>
      <c r="L975" s="909">
        <v>2</v>
      </c>
      <c r="M975" s="907">
        <v>10310.129999999999</v>
      </c>
      <c r="N975" s="908">
        <v>1</v>
      </c>
      <c r="O975" s="908">
        <v>6</v>
      </c>
      <c r="P975" s="907">
        <v>34044.9</v>
      </c>
      <c r="R975" s="890"/>
    </row>
    <row r="976" spans="1:18" s="276" customFormat="1" ht="24">
      <c r="A976" s="908" t="s">
        <v>3199</v>
      </c>
      <c r="B976" s="908" t="s">
        <v>1402</v>
      </c>
      <c r="C976" s="908" t="s">
        <v>96</v>
      </c>
      <c r="D976" s="910" t="s">
        <v>3318</v>
      </c>
      <c r="E976" s="907">
        <v>6000</v>
      </c>
      <c r="F976" s="908" t="s">
        <v>3362</v>
      </c>
      <c r="G976" s="910" t="s">
        <v>3363</v>
      </c>
      <c r="H976" s="911" t="s">
        <v>3323</v>
      </c>
      <c r="I976" s="911" t="s">
        <v>2863</v>
      </c>
      <c r="J976" s="910" t="s">
        <v>3323</v>
      </c>
      <c r="K976" s="909">
        <v>1</v>
      </c>
      <c r="L976" s="909">
        <v>12</v>
      </c>
      <c r="M976" s="907">
        <v>74260.800000000003</v>
      </c>
      <c r="N976" s="908">
        <v>1</v>
      </c>
      <c r="O976" s="908">
        <v>6</v>
      </c>
      <c r="P976" s="907">
        <v>37044.9</v>
      </c>
      <c r="R976" s="890"/>
    </row>
    <row r="977" spans="1:18" s="276" customFormat="1" ht="24">
      <c r="A977" s="908" t="s">
        <v>3199</v>
      </c>
      <c r="B977" s="908" t="s">
        <v>1402</v>
      </c>
      <c r="C977" s="908" t="s">
        <v>96</v>
      </c>
      <c r="D977" s="910" t="s">
        <v>3318</v>
      </c>
      <c r="E977" s="907">
        <v>5000</v>
      </c>
      <c r="F977" s="908" t="s">
        <v>3364</v>
      </c>
      <c r="G977" s="910" t="s">
        <v>3365</v>
      </c>
      <c r="H977" s="911" t="s">
        <v>3323</v>
      </c>
      <c r="I977" s="911" t="s">
        <v>2863</v>
      </c>
      <c r="J977" s="910" t="s">
        <v>3323</v>
      </c>
      <c r="K977" s="909">
        <v>1</v>
      </c>
      <c r="L977" s="909">
        <v>12</v>
      </c>
      <c r="M977" s="907">
        <v>62260.800000000003</v>
      </c>
      <c r="N977" s="908">
        <v>1</v>
      </c>
      <c r="O977" s="908">
        <v>6</v>
      </c>
      <c r="P977" s="907">
        <v>31044.9</v>
      </c>
      <c r="R977" s="890"/>
    </row>
    <row r="978" spans="1:18" s="276" customFormat="1" ht="24">
      <c r="A978" s="908" t="s">
        <v>3199</v>
      </c>
      <c r="B978" s="908" t="s">
        <v>1402</v>
      </c>
      <c r="C978" s="908" t="s">
        <v>96</v>
      </c>
      <c r="D978" s="910" t="s">
        <v>3318</v>
      </c>
      <c r="E978" s="907">
        <v>4500</v>
      </c>
      <c r="F978" s="908" t="s">
        <v>3366</v>
      </c>
      <c r="G978" s="910" t="s">
        <v>3367</v>
      </c>
      <c r="H978" s="911" t="s">
        <v>3310</v>
      </c>
      <c r="I978" s="911" t="s">
        <v>1407</v>
      </c>
      <c r="J978" s="910" t="s">
        <v>3310</v>
      </c>
      <c r="K978" s="909">
        <v>1</v>
      </c>
      <c r="L978" s="909">
        <v>5</v>
      </c>
      <c r="M978" s="907">
        <v>35843.67</v>
      </c>
      <c r="N978" s="908"/>
      <c r="O978" s="908"/>
      <c r="P978" s="907"/>
      <c r="R978" s="890"/>
    </row>
    <row r="979" spans="1:18" s="276" customFormat="1" ht="24">
      <c r="A979" s="908" t="s">
        <v>3199</v>
      </c>
      <c r="B979" s="908" t="s">
        <v>1402</v>
      </c>
      <c r="C979" s="908" t="s">
        <v>96</v>
      </c>
      <c r="D979" s="910" t="s">
        <v>3318</v>
      </c>
      <c r="E979" s="907">
        <v>7000</v>
      </c>
      <c r="F979" s="908" t="s">
        <v>3368</v>
      </c>
      <c r="G979" s="910" t="s">
        <v>3369</v>
      </c>
      <c r="H979" s="911" t="s">
        <v>2743</v>
      </c>
      <c r="I979" s="911" t="s">
        <v>2863</v>
      </c>
      <c r="J979" s="910" t="s">
        <v>2743</v>
      </c>
      <c r="K979" s="909">
        <v>1</v>
      </c>
      <c r="L979" s="909">
        <v>12</v>
      </c>
      <c r="M979" s="907">
        <v>81260.800000000003</v>
      </c>
      <c r="N979" s="908">
        <v>1</v>
      </c>
      <c r="O979" s="908">
        <v>6</v>
      </c>
      <c r="P979" s="907">
        <v>43044.9</v>
      </c>
      <c r="R979" s="890"/>
    </row>
    <row r="980" spans="1:18" s="276" customFormat="1" ht="24">
      <c r="A980" s="908" t="s">
        <v>3199</v>
      </c>
      <c r="B980" s="908" t="s">
        <v>1402</v>
      </c>
      <c r="C980" s="908" t="s">
        <v>96</v>
      </c>
      <c r="D980" s="910" t="s">
        <v>3318</v>
      </c>
      <c r="E980" s="907">
        <v>6000</v>
      </c>
      <c r="F980" s="908" t="s">
        <v>3370</v>
      </c>
      <c r="G980" s="910" t="s">
        <v>3371</v>
      </c>
      <c r="H980" s="911" t="s">
        <v>3323</v>
      </c>
      <c r="I980" s="911" t="s">
        <v>2863</v>
      </c>
      <c r="J980" s="910" t="s">
        <v>3323</v>
      </c>
      <c r="K980" s="909">
        <v>1</v>
      </c>
      <c r="L980" s="909">
        <v>12</v>
      </c>
      <c r="M980" s="907">
        <v>74260.800000000003</v>
      </c>
      <c r="N980" s="908">
        <v>1</v>
      </c>
      <c r="O980" s="908">
        <v>6</v>
      </c>
      <c r="P980" s="907">
        <v>37044.9</v>
      </c>
      <c r="R980" s="890"/>
    </row>
    <row r="981" spans="1:18" s="276" customFormat="1" ht="24">
      <c r="A981" s="908" t="s">
        <v>3199</v>
      </c>
      <c r="B981" s="908" t="s">
        <v>1402</v>
      </c>
      <c r="C981" s="908" t="s">
        <v>96</v>
      </c>
      <c r="D981" s="910" t="s">
        <v>3318</v>
      </c>
      <c r="E981" s="907">
        <v>5500</v>
      </c>
      <c r="F981" s="908" t="s">
        <v>3372</v>
      </c>
      <c r="G981" s="910" t="s">
        <v>3373</v>
      </c>
      <c r="H981" s="911" t="s">
        <v>2743</v>
      </c>
      <c r="I981" s="911" t="s">
        <v>2863</v>
      </c>
      <c r="J981" s="910" t="s">
        <v>2743</v>
      </c>
      <c r="K981" s="909">
        <v>1</v>
      </c>
      <c r="L981" s="909">
        <v>12</v>
      </c>
      <c r="M981" s="907">
        <v>66760.800000000003</v>
      </c>
      <c r="N981" s="908">
        <v>1</v>
      </c>
      <c r="O981" s="908">
        <v>6</v>
      </c>
      <c r="P981" s="907">
        <v>34044.9</v>
      </c>
      <c r="R981" s="890"/>
    </row>
    <row r="982" spans="1:18" s="276" customFormat="1" ht="24">
      <c r="A982" s="908" t="s">
        <v>3199</v>
      </c>
      <c r="B982" s="908" t="s">
        <v>1402</v>
      </c>
      <c r="C982" s="908" t="s">
        <v>96</v>
      </c>
      <c r="D982" s="910" t="s">
        <v>3318</v>
      </c>
      <c r="E982" s="907">
        <v>5500</v>
      </c>
      <c r="F982" s="908" t="s">
        <v>3374</v>
      </c>
      <c r="G982" s="910" t="s">
        <v>3375</v>
      </c>
      <c r="H982" s="911" t="s">
        <v>2743</v>
      </c>
      <c r="I982" s="911" t="s">
        <v>2863</v>
      </c>
      <c r="J982" s="910" t="s">
        <v>2743</v>
      </c>
      <c r="K982" s="909">
        <v>1</v>
      </c>
      <c r="L982" s="909">
        <v>12</v>
      </c>
      <c r="M982" s="907">
        <v>68760.800000000003</v>
      </c>
      <c r="N982" s="908">
        <v>1</v>
      </c>
      <c r="O982" s="908">
        <v>6</v>
      </c>
      <c r="P982" s="907">
        <v>26344.9</v>
      </c>
      <c r="R982" s="890"/>
    </row>
    <row r="983" spans="1:18" s="276" customFormat="1" ht="24">
      <c r="A983" s="908" t="s">
        <v>3199</v>
      </c>
      <c r="B983" s="908" t="s">
        <v>1402</v>
      </c>
      <c r="C983" s="908" t="s">
        <v>96</v>
      </c>
      <c r="D983" s="910" t="s">
        <v>3318</v>
      </c>
      <c r="E983" s="907">
        <v>5500</v>
      </c>
      <c r="F983" s="908" t="s">
        <v>3376</v>
      </c>
      <c r="G983" s="910" t="s">
        <v>3377</v>
      </c>
      <c r="H983" s="911" t="s">
        <v>3323</v>
      </c>
      <c r="I983" s="911" t="s">
        <v>2863</v>
      </c>
      <c r="J983" s="910" t="s">
        <v>3323</v>
      </c>
      <c r="K983" s="909">
        <v>1</v>
      </c>
      <c r="L983" s="909">
        <v>8</v>
      </c>
      <c r="M983" s="907">
        <v>44507.199999999997</v>
      </c>
      <c r="N983" s="908"/>
      <c r="O983" s="908"/>
      <c r="P983" s="907"/>
      <c r="R983" s="890"/>
    </row>
    <row r="984" spans="1:18" s="276" customFormat="1" ht="24">
      <c r="A984" s="908" t="s">
        <v>3199</v>
      </c>
      <c r="B984" s="908" t="s">
        <v>1402</v>
      </c>
      <c r="C984" s="908" t="s">
        <v>96</v>
      </c>
      <c r="D984" s="910" t="s">
        <v>3318</v>
      </c>
      <c r="E984" s="907">
        <v>6500</v>
      </c>
      <c r="F984" s="908" t="s">
        <v>3378</v>
      </c>
      <c r="G984" s="910" t="s">
        <v>3379</v>
      </c>
      <c r="H984" s="911" t="s">
        <v>3323</v>
      </c>
      <c r="I984" s="911" t="s">
        <v>2863</v>
      </c>
      <c r="J984" s="910" t="s">
        <v>3323</v>
      </c>
      <c r="K984" s="909">
        <v>1</v>
      </c>
      <c r="L984" s="909">
        <v>12</v>
      </c>
      <c r="M984" s="907">
        <v>80260.800000000003</v>
      </c>
      <c r="N984" s="908">
        <v>1</v>
      </c>
      <c r="O984" s="908">
        <v>6</v>
      </c>
      <c r="P984" s="907">
        <v>40044.9</v>
      </c>
      <c r="R984" s="890"/>
    </row>
    <row r="985" spans="1:18" s="276" customFormat="1" ht="24">
      <c r="A985" s="908" t="s">
        <v>3199</v>
      </c>
      <c r="B985" s="908" t="s">
        <v>1402</v>
      </c>
      <c r="C985" s="908" t="s">
        <v>96</v>
      </c>
      <c r="D985" s="910" t="s">
        <v>3318</v>
      </c>
      <c r="E985" s="907">
        <v>5500</v>
      </c>
      <c r="F985" s="908" t="s">
        <v>3380</v>
      </c>
      <c r="G985" s="910" t="s">
        <v>3381</v>
      </c>
      <c r="H985" s="911" t="s">
        <v>3323</v>
      </c>
      <c r="I985" s="911" t="s">
        <v>2863</v>
      </c>
      <c r="J985" s="910" t="s">
        <v>3323</v>
      </c>
      <c r="K985" s="909">
        <v>1</v>
      </c>
      <c r="L985" s="909">
        <v>12</v>
      </c>
      <c r="M985" s="907">
        <v>65504.14</v>
      </c>
      <c r="N985" s="908">
        <v>1</v>
      </c>
      <c r="O985" s="908">
        <v>6</v>
      </c>
      <c r="P985" s="907">
        <v>34044.9</v>
      </c>
      <c r="R985" s="890"/>
    </row>
    <row r="986" spans="1:18" s="276" customFormat="1" ht="24">
      <c r="A986" s="908" t="s">
        <v>3199</v>
      </c>
      <c r="B986" s="908" t="s">
        <v>1402</v>
      </c>
      <c r="C986" s="908" t="s">
        <v>96</v>
      </c>
      <c r="D986" s="910" t="s">
        <v>3318</v>
      </c>
      <c r="E986" s="907">
        <v>5200</v>
      </c>
      <c r="F986" s="908" t="s">
        <v>3382</v>
      </c>
      <c r="G986" s="910" t="s">
        <v>3383</v>
      </c>
      <c r="H986" s="911" t="s">
        <v>3323</v>
      </c>
      <c r="I986" s="911" t="s">
        <v>2863</v>
      </c>
      <c r="J986" s="910" t="s">
        <v>3323</v>
      </c>
      <c r="K986" s="909">
        <v>1</v>
      </c>
      <c r="L986" s="909">
        <v>12</v>
      </c>
      <c r="M986" s="907">
        <v>64460.800000000003</v>
      </c>
      <c r="N986" s="908">
        <v>1</v>
      </c>
      <c r="O986" s="908">
        <v>6</v>
      </c>
      <c r="P986" s="907">
        <v>32244.9</v>
      </c>
      <c r="R986" s="890"/>
    </row>
    <row r="987" spans="1:18" s="276" customFormat="1" ht="24">
      <c r="A987" s="908" t="s">
        <v>3199</v>
      </c>
      <c r="B987" s="908" t="s">
        <v>1402</v>
      </c>
      <c r="C987" s="908" t="s">
        <v>96</v>
      </c>
      <c r="D987" s="910" t="s">
        <v>3318</v>
      </c>
      <c r="E987" s="907">
        <v>6000</v>
      </c>
      <c r="F987" s="908" t="s">
        <v>3384</v>
      </c>
      <c r="G987" s="910" t="s">
        <v>3385</v>
      </c>
      <c r="H987" s="911" t="s">
        <v>2743</v>
      </c>
      <c r="I987" s="911" t="s">
        <v>2863</v>
      </c>
      <c r="J987" s="910" t="s">
        <v>2743</v>
      </c>
      <c r="K987" s="909"/>
      <c r="L987" s="909"/>
      <c r="M987" s="907"/>
      <c r="N987" s="908">
        <v>1</v>
      </c>
      <c r="O987" s="908">
        <v>6</v>
      </c>
      <c r="P987" s="907">
        <v>36644.9</v>
      </c>
      <c r="R987" s="890"/>
    </row>
    <row r="988" spans="1:18" s="276" customFormat="1" ht="24">
      <c r="A988" s="908" t="s">
        <v>3199</v>
      </c>
      <c r="B988" s="908" t="s">
        <v>1402</v>
      </c>
      <c r="C988" s="908" t="s">
        <v>96</v>
      </c>
      <c r="D988" s="910" t="s">
        <v>3318</v>
      </c>
      <c r="E988" s="907">
        <v>5000</v>
      </c>
      <c r="F988" s="908" t="s">
        <v>3386</v>
      </c>
      <c r="G988" s="910" t="s">
        <v>3387</v>
      </c>
      <c r="H988" s="911" t="s">
        <v>2743</v>
      </c>
      <c r="I988" s="911" t="s">
        <v>1420</v>
      </c>
      <c r="J988" s="910" t="s">
        <v>2743</v>
      </c>
      <c r="K988" s="909">
        <v>1</v>
      </c>
      <c r="L988" s="909">
        <v>12</v>
      </c>
      <c r="M988" s="907">
        <v>54494.130000000005</v>
      </c>
      <c r="N988" s="908">
        <v>1</v>
      </c>
      <c r="O988" s="908">
        <v>6</v>
      </c>
      <c r="P988" s="907">
        <v>31044.9</v>
      </c>
      <c r="R988" s="890"/>
    </row>
    <row r="989" spans="1:18" s="276" customFormat="1" ht="24">
      <c r="A989" s="908" t="s">
        <v>3199</v>
      </c>
      <c r="B989" s="908" t="s">
        <v>1402</v>
      </c>
      <c r="C989" s="908" t="s">
        <v>96</v>
      </c>
      <c r="D989" s="910" t="s">
        <v>3318</v>
      </c>
      <c r="E989" s="907">
        <v>6000</v>
      </c>
      <c r="F989" s="908" t="s">
        <v>3388</v>
      </c>
      <c r="G989" s="910" t="s">
        <v>3389</v>
      </c>
      <c r="H989" s="911" t="s">
        <v>3323</v>
      </c>
      <c r="I989" s="911" t="s">
        <v>2863</v>
      </c>
      <c r="J989" s="910" t="s">
        <v>3323</v>
      </c>
      <c r="K989" s="909">
        <v>1</v>
      </c>
      <c r="L989" s="909">
        <v>12</v>
      </c>
      <c r="M989" s="907">
        <v>74260.800000000003</v>
      </c>
      <c r="N989" s="908">
        <v>1</v>
      </c>
      <c r="O989" s="908">
        <v>6</v>
      </c>
      <c r="P989" s="907">
        <v>37044.9</v>
      </c>
      <c r="R989" s="890"/>
    </row>
    <row r="990" spans="1:18" s="276" customFormat="1" ht="24">
      <c r="A990" s="908" t="s">
        <v>3199</v>
      </c>
      <c r="B990" s="908" t="s">
        <v>1402</v>
      </c>
      <c r="C990" s="908" t="s">
        <v>96</v>
      </c>
      <c r="D990" s="910" t="s">
        <v>3318</v>
      </c>
      <c r="E990" s="907">
        <v>5500</v>
      </c>
      <c r="F990" s="908" t="s">
        <v>3390</v>
      </c>
      <c r="G990" s="910" t="s">
        <v>3391</v>
      </c>
      <c r="H990" s="911" t="s">
        <v>2743</v>
      </c>
      <c r="I990" s="911" t="s">
        <v>2863</v>
      </c>
      <c r="J990" s="910" t="s">
        <v>2743</v>
      </c>
      <c r="K990" s="909">
        <v>1</v>
      </c>
      <c r="L990" s="909">
        <v>5</v>
      </c>
      <c r="M990" s="907">
        <v>24333.67</v>
      </c>
      <c r="N990" s="908"/>
      <c r="O990" s="908"/>
      <c r="P990" s="907"/>
      <c r="R990" s="890"/>
    </row>
    <row r="991" spans="1:18" s="276" customFormat="1" ht="24">
      <c r="A991" s="908" t="s">
        <v>3199</v>
      </c>
      <c r="B991" s="908" t="s">
        <v>1402</v>
      </c>
      <c r="C991" s="908" t="s">
        <v>96</v>
      </c>
      <c r="D991" s="910" t="s">
        <v>3318</v>
      </c>
      <c r="E991" s="907">
        <v>5000</v>
      </c>
      <c r="F991" s="908" t="s">
        <v>3392</v>
      </c>
      <c r="G991" s="910" t="s">
        <v>3393</v>
      </c>
      <c r="H991" s="911" t="s">
        <v>2743</v>
      </c>
      <c r="I991" s="911" t="s">
        <v>2863</v>
      </c>
      <c r="J991" s="910" t="s">
        <v>2743</v>
      </c>
      <c r="K991" s="909"/>
      <c r="L991" s="909"/>
      <c r="M991" s="907"/>
      <c r="N991" s="908">
        <v>1</v>
      </c>
      <c r="O991" s="908">
        <v>6</v>
      </c>
      <c r="P991" s="907">
        <v>30711.57</v>
      </c>
      <c r="R991" s="890"/>
    </row>
    <row r="992" spans="1:18" s="276" customFormat="1" ht="24">
      <c r="A992" s="908" t="s">
        <v>3199</v>
      </c>
      <c r="B992" s="908" t="s">
        <v>1402</v>
      </c>
      <c r="C992" s="908" t="s">
        <v>96</v>
      </c>
      <c r="D992" s="910" t="s">
        <v>3318</v>
      </c>
      <c r="E992" s="907">
        <v>4000</v>
      </c>
      <c r="F992" s="908" t="s">
        <v>3394</v>
      </c>
      <c r="G992" s="910" t="s">
        <v>3395</v>
      </c>
      <c r="H992" s="911" t="s">
        <v>2743</v>
      </c>
      <c r="I992" s="911" t="s">
        <v>2863</v>
      </c>
      <c r="J992" s="910" t="s">
        <v>2743</v>
      </c>
      <c r="K992" s="909">
        <v>1</v>
      </c>
      <c r="L992" s="909">
        <v>6</v>
      </c>
      <c r="M992" s="907">
        <v>22143.739999999998</v>
      </c>
      <c r="N992" s="908"/>
      <c r="O992" s="908"/>
      <c r="P992" s="907"/>
      <c r="R992" s="890"/>
    </row>
    <row r="993" spans="1:18" s="276" customFormat="1" ht="24">
      <c r="A993" s="908" t="s">
        <v>3199</v>
      </c>
      <c r="B993" s="908" t="s">
        <v>1402</v>
      </c>
      <c r="C993" s="908" t="s">
        <v>96</v>
      </c>
      <c r="D993" s="910" t="s">
        <v>3318</v>
      </c>
      <c r="E993" s="907">
        <v>5000</v>
      </c>
      <c r="F993" s="908" t="s">
        <v>3396</v>
      </c>
      <c r="G993" s="910" t="s">
        <v>3397</v>
      </c>
      <c r="H993" s="911" t="s">
        <v>2743</v>
      </c>
      <c r="I993" s="911" t="s">
        <v>2863</v>
      </c>
      <c r="J993" s="910" t="s">
        <v>2743</v>
      </c>
      <c r="K993" s="909">
        <v>1</v>
      </c>
      <c r="L993" s="909">
        <v>12</v>
      </c>
      <c r="M993" s="907">
        <v>54360.800000000003</v>
      </c>
      <c r="N993" s="908">
        <v>1</v>
      </c>
      <c r="O993" s="908">
        <v>6</v>
      </c>
      <c r="P993" s="907">
        <v>31044.9</v>
      </c>
      <c r="R993" s="890"/>
    </row>
    <row r="994" spans="1:18" s="276" customFormat="1" ht="24">
      <c r="A994" s="908" t="s">
        <v>3199</v>
      </c>
      <c r="B994" s="908" t="s">
        <v>1402</v>
      </c>
      <c r="C994" s="908" t="s">
        <v>96</v>
      </c>
      <c r="D994" s="910" t="s">
        <v>3318</v>
      </c>
      <c r="E994" s="907">
        <v>7000</v>
      </c>
      <c r="F994" s="908" t="s">
        <v>3398</v>
      </c>
      <c r="G994" s="910" t="s">
        <v>3399</v>
      </c>
      <c r="H994" s="911" t="s">
        <v>3323</v>
      </c>
      <c r="I994" s="911" t="s">
        <v>2863</v>
      </c>
      <c r="J994" s="910" t="s">
        <v>3323</v>
      </c>
      <c r="K994" s="909">
        <v>1</v>
      </c>
      <c r="L994" s="909">
        <v>12</v>
      </c>
      <c r="M994" s="907">
        <v>83160.800000000003</v>
      </c>
      <c r="N994" s="908">
        <v>1</v>
      </c>
      <c r="O994" s="908">
        <v>6</v>
      </c>
      <c r="P994" s="907">
        <v>43044.9</v>
      </c>
      <c r="R994" s="890"/>
    </row>
    <row r="995" spans="1:18" s="276" customFormat="1" ht="24">
      <c r="A995" s="908" t="s">
        <v>3199</v>
      </c>
      <c r="B995" s="908" t="s">
        <v>1402</v>
      </c>
      <c r="C995" s="908" t="s">
        <v>96</v>
      </c>
      <c r="D995" s="910" t="s">
        <v>3318</v>
      </c>
      <c r="E995" s="907">
        <v>5500</v>
      </c>
      <c r="F995" s="908" t="s">
        <v>3400</v>
      </c>
      <c r="G995" s="910" t="s">
        <v>3401</v>
      </c>
      <c r="H995" s="911" t="s">
        <v>3323</v>
      </c>
      <c r="I995" s="911" t="s">
        <v>2863</v>
      </c>
      <c r="J995" s="910" t="s">
        <v>3323</v>
      </c>
      <c r="K995" s="909">
        <v>1</v>
      </c>
      <c r="L995" s="909">
        <v>12</v>
      </c>
      <c r="M995" s="907">
        <v>66757.47</v>
      </c>
      <c r="N995" s="908">
        <v>1</v>
      </c>
      <c r="O995" s="908">
        <v>6</v>
      </c>
      <c r="P995" s="907">
        <v>34044.9</v>
      </c>
      <c r="R995" s="890"/>
    </row>
    <row r="996" spans="1:18" s="276" customFormat="1" ht="24">
      <c r="A996" s="908" t="s">
        <v>3199</v>
      </c>
      <c r="B996" s="908" t="s">
        <v>1402</v>
      </c>
      <c r="C996" s="908" t="s">
        <v>96</v>
      </c>
      <c r="D996" s="910" t="s">
        <v>3318</v>
      </c>
      <c r="E996" s="907">
        <v>5000</v>
      </c>
      <c r="F996" s="908" t="s">
        <v>3402</v>
      </c>
      <c r="G996" s="910" t="s">
        <v>3403</v>
      </c>
      <c r="H996" s="911" t="s">
        <v>2743</v>
      </c>
      <c r="I996" s="911" t="s">
        <v>2863</v>
      </c>
      <c r="J996" s="910" t="s">
        <v>2743</v>
      </c>
      <c r="K996" s="909">
        <v>1</v>
      </c>
      <c r="L996" s="909">
        <v>12</v>
      </c>
      <c r="M996" s="907">
        <v>62254.130000000005</v>
      </c>
      <c r="N996" s="908">
        <v>1</v>
      </c>
      <c r="O996" s="908">
        <v>6</v>
      </c>
      <c r="P996" s="907">
        <v>31044.9</v>
      </c>
      <c r="R996" s="890"/>
    </row>
    <row r="997" spans="1:18" s="276" customFormat="1" ht="24">
      <c r="A997" s="908" t="s">
        <v>3199</v>
      </c>
      <c r="B997" s="908" t="s">
        <v>1402</v>
      </c>
      <c r="C997" s="908" t="s">
        <v>96</v>
      </c>
      <c r="D997" s="910" t="s">
        <v>3318</v>
      </c>
      <c r="E997" s="907">
        <v>6500</v>
      </c>
      <c r="F997" s="908" t="s">
        <v>3404</v>
      </c>
      <c r="G997" s="910" t="s">
        <v>3405</v>
      </c>
      <c r="H997" s="911" t="s">
        <v>3323</v>
      </c>
      <c r="I997" s="911" t="s">
        <v>2863</v>
      </c>
      <c r="J997" s="910" t="s">
        <v>3323</v>
      </c>
      <c r="K997" s="909">
        <v>1</v>
      </c>
      <c r="L997" s="909">
        <v>12</v>
      </c>
      <c r="M997" s="907">
        <v>80260.800000000003</v>
      </c>
      <c r="N997" s="908">
        <v>1</v>
      </c>
      <c r="O997" s="908">
        <v>6</v>
      </c>
      <c r="P997" s="907">
        <v>40044.9</v>
      </c>
      <c r="R997" s="890"/>
    </row>
    <row r="998" spans="1:18" s="276" customFormat="1" ht="24">
      <c r="A998" s="908" t="s">
        <v>3199</v>
      </c>
      <c r="B998" s="908" t="s">
        <v>1402</v>
      </c>
      <c r="C998" s="908" t="s">
        <v>96</v>
      </c>
      <c r="D998" s="910" t="s">
        <v>3318</v>
      </c>
      <c r="E998" s="907">
        <v>5500</v>
      </c>
      <c r="F998" s="908" t="s">
        <v>3406</v>
      </c>
      <c r="G998" s="910" t="s">
        <v>3407</v>
      </c>
      <c r="H998" s="911" t="s">
        <v>2743</v>
      </c>
      <c r="I998" s="911" t="s">
        <v>2863</v>
      </c>
      <c r="J998" s="910" t="s">
        <v>2743</v>
      </c>
      <c r="K998" s="909">
        <v>1</v>
      </c>
      <c r="L998" s="909">
        <v>2</v>
      </c>
      <c r="M998" s="907">
        <v>11026.8</v>
      </c>
      <c r="N998" s="908"/>
      <c r="O998" s="908"/>
      <c r="P998" s="907"/>
      <c r="R998" s="890"/>
    </row>
    <row r="999" spans="1:18" s="276" customFormat="1" ht="15.95" customHeight="1">
      <c r="A999" s="908" t="s">
        <v>3199</v>
      </c>
      <c r="B999" s="908" t="s">
        <v>1402</v>
      </c>
      <c r="C999" s="908" t="s">
        <v>96</v>
      </c>
      <c r="D999" s="910" t="s">
        <v>3408</v>
      </c>
      <c r="E999" s="907">
        <v>6500</v>
      </c>
      <c r="F999" s="908" t="s">
        <v>3409</v>
      </c>
      <c r="G999" s="910" t="s">
        <v>3410</v>
      </c>
      <c r="H999" s="911" t="s">
        <v>3323</v>
      </c>
      <c r="I999" s="911" t="s">
        <v>2863</v>
      </c>
      <c r="J999" s="910" t="s">
        <v>3323</v>
      </c>
      <c r="K999" s="909">
        <v>1</v>
      </c>
      <c r="L999" s="909">
        <v>12</v>
      </c>
      <c r="M999" s="907">
        <v>80260.800000000003</v>
      </c>
      <c r="N999" s="908">
        <v>1</v>
      </c>
      <c r="O999" s="908">
        <v>6</v>
      </c>
      <c r="P999" s="907">
        <v>40044.9</v>
      </c>
      <c r="R999" s="890"/>
    </row>
    <row r="1000" spans="1:18" s="276" customFormat="1" ht="15.95" customHeight="1">
      <c r="A1000" s="908" t="s">
        <v>3199</v>
      </c>
      <c r="B1000" s="908" t="s">
        <v>1402</v>
      </c>
      <c r="C1000" s="908" t="s">
        <v>96</v>
      </c>
      <c r="D1000" s="910" t="s">
        <v>3408</v>
      </c>
      <c r="E1000" s="907">
        <v>6000</v>
      </c>
      <c r="F1000" s="908" t="s">
        <v>3411</v>
      </c>
      <c r="G1000" s="910" t="s">
        <v>3412</v>
      </c>
      <c r="H1000" s="911" t="s">
        <v>2743</v>
      </c>
      <c r="I1000" s="911" t="s">
        <v>2863</v>
      </c>
      <c r="J1000" s="910" t="s">
        <v>2743</v>
      </c>
      <c r="K1000" s="909"/>
      <c r="L1000" s="909"/>
      <c r="M1000" s="907"/>
      <c r="N1000" s="908">
        <v>1</v>
      </c>
      <c r="O1000" s="908">
        <v>6</v>
      </c>
      <c r="P1000" s="907">
        <v>36644.9</v>
      </c>
      <c r="R1000" s="890"/>
    </row>
    <row r="1001" spans="1:18" s="276" customFormat="1" ht="15.95" customHeight="1">
      <c r="A1001" s="908" t="s">
        <v>3199</v>
      </c>
      <c r="B1001" s="908" t="s">
        <v>1402</v>
      </c>
      <c r="C1001" s="908" t="s">
        <v>96</v>
      </c>
      <c r="D1001" s="910" t="s">
        <v>3408</v>
      </c>
      <c r="E1001" s="907">
        <v>5000</v>
      </c>
      <c r="F1001" s="908" t="s">
        <v>3413</v>
      </c>
      <c r="G1001" s="910" t="s">
        <v>3414</v>
      </c>
      <c r="H1001" s="911" t="s">
        <v>3323</v>
      </c>
      <c r="I1001" s="911" t="s">
        <v>2863</v>
      </c>
      <c r="J1001" s="910" t="s">
        <v>3323</v>
      </c>
      <c r="K1001" s="909">
        <v>1</v>
      </c>
      <c r="L1001" s="909">
        <v>12</v>
      </c>
      <c r="M1001" s="907">
        <v>62160.800000000003</v>
      </c>
      <c r="N1001" s="908">
        <v>1</v>
      </c>
      <c r="O1001" s="908">
        <v>6</v>
      </c>
      <c r="P1001" s="907">
        <v>31044.9</v>
      </c>
      <c r="R1001" s="890"/>
    </row>
    <row r="1002" spans="1:18" s="276" customFormat="1" ht="15.95" customHeight="1">
      <c r="A1002" s="908" t="s">
        <v>3199</v>
      </c>
      <c r="B1002" s="908" t="s">
        <v>1402</v>
      </c>
      <c r="C1002" s="908" t="s">
        <v>96</v>
      </c>
      <c r="D1002" s="910" t="s">
        <v>3408</v>
      </c>
      <c r="E1002" s="907">
        <v>7500</v>
      </c>
      <c r="F1002" s="908" t="s">
        <v>3415</v>
      </c>
      <c r="G1002" s="910" t="s">
        <v>3416</v>
      </c>
      <c r="H1002" s="911" t="s">
        <v>2743</v>
      </c>
      <c r="I1002" s="911" t="s">
        <v>2863</v>
      </c>
      <c r="J1002" s="910" t="s">
        <v>2743</v>
      </c>
      <c r="K1002" s="909">
        <v>1</v>
      </c>
      <c r="L1002" s="909">
        <v>12</v>
      </c>
      <c r="M1002" s="907">
        <v>78660.800000000003</v>
      </c>
      <c r="N1002" s="908">
        <v>1</v>
      </c>
      <c r="O1002" s="908">
        <v>6</v>
      </c>
      <c r="P1002" s="907">
        <v>46044.9</v>
      </c>
      <c r="R1002" s="890"/>
    </row>
    <row r="1003" spans="1:18" s="276" customFormat="1" ht="15.95" customHeight="1">
      <c r="A1003" s="908" t="s">
        <v>3199</v>
      </c>
      <c r="B1003" s="908" t="s">
        <v>1402</v>
      </c>
      <c r="C1003" s="908" t="s">
        <v>96</v>
      </c>
      <c r="D1003" s="910" t="s">
        <v>3408</v>
      </c>
      <c r="E1003" s="907">
        <v>5000</v>
      </c>
      <c r="F1003" s="908" t="s">
        <v>3417</v>
      </c>
      <c r="G1003" s="910" t="s">
        <v>3418</v>
      </c>
      <c r="H1003" s="911" t="s">
        <v>3323</v>
      </c>
      <c r="I1003" s="911" t="s">
        <v>2863</v>
      </c>
      <c r="J1003" s="910" t="s">
        <v>3323</v>
      </c>
      <c r="K1003" s="909">
        <v>1</v>
      </c>
      <c r="L1003" s="909">
        <v>12</v>
      </c>
      <c r="M1003" s="907">
        <v>54827.47</v>
      </c>
      <c r="N1003" s="908">
        <v>1</v>
      </c>
      <c r="O1003" s="908">
        <v>6</v>
      </c>
      <c r="P1003" s="907">
        <v>31044.9</v>
      </c>
      <c r="R1003" s="890"/>
    </row>
    <row r="1004" spans="1:18" s="276" customFormat="1" ht="15.95" customHeight="1">
      <c r="A1004" s="908" t="s">
        <v>3199</v>
      </c>
      <c r="B1004" s="908" t="s">
        <v>1402</v>
      </c>
      <c r="C1004" s="908" t="s">
        <v>96</v>
      </c>
      <c r="D1004" s="910" t="s">
        <v>3408</v>
      </c>
      <c r="E1004" s="907">
        <v>4000</v>
      </c>
      <c r="F1004" s="908" t="s">
        <v>3419</v>
      </c>
      <c r="G1004" s="910" t="s">
        <v>3420</v>
      </c>
      <c r="H1004" s="911" t="s">
        <v>3323</v>
      </c>
      <c r="I1004" s="911" t="s">
        <v>2863</v>
      </c>
      <c r="J1004" s="910" t="s">
        <v>3323</v>
      </c>
      <c r="K1004" s="909">
        <v>1</v>
      </c>
      <c r="L1004" s="909">
        <v>12</v>
      </c>
      <c r="M1004" s="907">
        <v>52260.800000000003</v>
      </c>
      <c r="N1004" s="908">
        <v>1</v>
      </c>
      <c r="O1004" s="908">
        <v>6</v>
      </c>
      <c r="P1004" s="907">
        <v>25044.9</v>
      </c>
      <c r="R1004" s="890"/>
    </row>
    <row r="1005" spans="1:18" s="276" customFormat="1" ht="15.95" customHeight="1">
      <c r="A1005" s="908" t="s">
        <v>3199</v>
      </c>
      <c r="B1005" s="908" t="s">
        <v>1402</v>
      </c>
      <c r="C1005" s="908" t="s">
        <v>96</v>
      </c>
      <c r="D1005" s="910" t="s">
        <v>3408</v>
      </c>
      <c r="E1005" s="907">
        <v>6000</v>
      </c>
      <c r="F1005" s="908" t="s">
        <v>3421</v>
      </c>
      <c r="G1005" s="910" t="s">
        <v>3422</v>
      </c>
      <c r="H1005" s="911" t="s">
        <v>3323</v>
      </c>
      <c r="I1005" s="911" t="s">
        <v>2863</v>
      </c>
      <c r="J1005" s="910" t="s">
        <v>3323</v>
      </c>
      <c r="K1005" s="909">
        <v>1</v>
      </c>
      <c r="L1005" s="909">
        <v>12</v>
      </c>
      <c r="M1005" s="907">
        <v>72260.800000000003</v>
      </c>
      <c r="N1005" s="908">
        <v>1</v>
      </c>
      <c r="O1005" s="908">
        <v>6</v>
      </c>
      <c r="P1005" s="907">
        <v>37044.9</v>
      </c>
      <c r="R1005" s="890"/>
    </row>
    <row r="1006" spans="1:18" s="276" customFormat="1" ht="15.95" customHeight="1">
      <c r="A1006" s="908" t="s">
        <v>3199</v>
      </c>
      <c r="B1006" s="908" t="s">
        <v>1402</v>
      </c>
      <c r="C1006" s="908" t="s">
        <v>96</v>
      </c>
      <c r="D1006" s="910" t="s">
        <v>3408</v>
      </c>
      <c r="E1006" s="907">
        <v>4500</v>
      </c>
      <c r="F1006" s="908" t="s">
        <v>3423</v>
      </c>
      <c r="G1006" s="910" t="s">
        <v>3424</v>
      </c>
      <c r="H1006" s="911" t="s">
        <v>3323</v>
      </c>
      <c r="I1006" s="911" t="s">
        <v>2863</v>
      </c>
      <c r="J1006" s="910" t="s">
        <v>3323</v>
      </c>
      <c r="K1006" s="909">
        <v>1</v>
      </c>
      <c r="L1006" s="909">
        <v>12</v>
      </c>
      <c r="M1006" s="907">
        <v>53423.47</v>
      </c>
      <c r="N1006" s="908">
        <v>1</v>
      </c>
      <c r="O1006" s="908">
        <v>6</v>
      </c>
      <c r="P1006" s="907">
        <v>28044.9</v>
      </c>
      <c r="R1006" s="890"/>
    </row>
    <row r="1007" spans="1:18" s="276" customFormat="1" ht="15.95" customHeight="1">
      <c r="A1007" s="908" t="s">
        <v>3199</v>
      </c>
      <c r="B1007" s="908" t="s">
        <v>1402</v>
      </c>
      <c r="C1007" s="908" t="s">
        <v>96</v>
      </c>
      <c r="D1007" s="910" t="s">
        <v>3408</v>
      </c>
      <c r="E1007" s="907">
        <v>4000</v>
      </c>
      <c r="F1007" s="908" t="s">
        <v>3425</v>
      </c>
      <c r="G1007" s="910" t="s">
        <v>3426</v>
      </c>
      <c r="H1007" s="911" t="s">
        <v>3323</v>
      </c>
      <c r="I1007" s="911" t="s">
        <v>2863</v>
      </c>
      <c r="J1007" s="910" t="s">
        <v>3323</v>
      </c>
      <c r="K1007" s="909">
        <v>1</v>
      </c>
      <c r="L1007" s="909">
        <v>12</v>
      </c>
      <c r="M1007" s="907">
        <v>49660.800000000003</v>
      </c>
      <c r="N1007" s="908">
        <v>1</v>
      </c>
      <c r="O1007" s="908">
        <v>6</v>
      </c>
      <c r="P1007" s="907">
        <v>25044.9</v>
      </c>
      <c r="R1007" s="890"/>
    </row>
    <row r="1008" spans="1:18" s="276" customFormat="1" ht="15.95" customHeight="1">
      <c r="A1008" s="908" t="s">
        <v>3199</v>
      </c>
      <c r="B1008" s="908" t="s">
        <v>1402</v>
      </c>
      <c r="C1008" s="908" t="s">
        <v>96</v>
      </c>
      <c r="D1008" s="910" t="s">
        <v>3408</v>
      </c>
      <c r="E1008" s="907">
        <v>6000</v>
      </c>
      <c r="F1008" s="908" t="s">
        <v>3427</v>
      </c>
      <c r="G1008" s="910" t="s">
        <v>3428</v>
      </c>
      <c r="H1008" s="911" t="s">
        <v>2743</v>
      </c>
      <c r="I1008" s="911" t="s">
        <v>2863</v>
      </c>
      <c r="J1008" s="910" t="s">
        <v>2743</v>
      </c>
      <c r="K1008" s="909">
        <v>1</v>
      </c>
      <c r="L1008" s="909">
        <v>12</v>
      </c>
      <c r="M1008" s="907">
        <v>75260.800000000003</v>
      </c>
      <c r="N1008" s="908">
        <v>1</v>
      </c>
      <c r="O1008" s="908">
        <v>6</v>
      </c>
      <c r="P1008" s="907">
        <v>37044.9</v>
      </c>
      <c r="R1008" s="890"/>
    </row>
    <row r="1009" spans="1:18" s="276" customFormat="1" ht="15.95" customHeight="1">
      <c r="A1009" s="908" t="s">
        <v>3199</v>
      </c>
      <c r="B1009" s="908" t="s">
        <v>1402</v>
      </c>
      <c r="C1009" s="908" t="s">
        <v>96</v>
      </c>
      <c r="D1009" s="910" t="s">
        <v>3408</v>
      </c>
      <c r="E1009" s="907">
        <v>8000</v>
      </c>
      <c r="F1009" s="908" t="s">
        <v>3429</v>
      </c>
      <c r="G1009" s="910" t="s">
        <v>3430</v>
      </c>
      <c r="H1009" s="911" t="s">
        <v>3323</v>
      </c>
      <c r="I1009" s="911" t="s">
        <v>2863</v>
      </c>
      <c r="J1009" s="910" t="s">
        <v>3323</v>
      </c>
      <c r="K1009" s="909">
        <v>1</v>
      </c>
      <c r="L1009" s="909">
        <v>12</v>
      </c>
      <c r="M1009" s="907">
        <v>95760.8</v>
      </c>
      <c r="N1009" s="908">
        <v>1</v>
      </c>
      <c r="O1009" s="908">
        <v>6</v>
      </c>
      <c r="P1009" s="907">
        <v>49044.9</v>
      </c>
      <c r="R1009" s="890"/>
    </row>
    <row r="1010" spans="1:18" s="276" customFormat="1" ht="15.95" customHeight="1">
      <c r="A1010" s="908" t="s">
        <v>3199</v>
      </c>
      <c r="B1010" s="908" t="s">
        <v>1402</v>
      </c>
      <c r="C1010" s="908" t="s">
        <v>96</v>
      </c>
      <c r="D1010" s="910" t="s">
        <v>3408</v>
      </c>
      <c r="E1010" s="907">
        <v>4500</v>
      </c>
      <c r="F1010" s="908" t="s">
        <v>3431</v>
      </c>
      <c r="G1010" s="910" t="s">
        <v>3432</v>
      </c>
      <c r="H1010" s="911" t="s">
        <v>3323</v>
      </c>
      <c r="I1010" s="911" t="s">
        <v>2863</v>
      </c>
      <c r="J1010" s="910" t="s">
        <v>3323</v>
      </c>
      <c r="K1010" s="909">
        <v>1</v>
      </c>
      <c r="L1010" s="909">
        <v>12</v>
      </c>
      <c r="M1010" s="907">
        <v>55960.800000000003</v>
      </c>
      <c r="N1010" s="908">
        <v>1</v>
      </c>
      <c r="O1010" s="908">
        <v>6</v>
      </c>
      <c r="P1010" s="907">
        <v>28044.9</v>
      </c>
      <c r="R1010" s="890"/>
    </row>
    <row r="1011" spans="1:18" s="276" customFormat="1" ht="15.95" customHeight="1">
      <c r="A1011" s="908" t="s">
        <v>3199</v>
      </c>
      <c r="B1011" s="908" t="s">
        <v>1402</v>
      </c>
      <c r="C1011" s="908" t="s">
        <v>96</v>
      </c>
      <c r="D1011" s="910" t="s">
        <v>3408</v>
      </c>
      <c r="E1011" s="907">
        <v>6000</v>
      </c>
      <c r="F1011" s="908" t="s">
        <v>3433</v>
      </c>
      <c r="G1011" s="910" t="s">
        <v>3434</v>
      </c>
      <c r="H1011" s="911" t="s">
        <v>3323</v>
      </c>
      <c r="I1011" s="911" t="s">
        <v>2863</v>
      </c>
      <c r="J1011" s="910" t="s">
        <v>3323</v>
      </c>
      <c r="K1011" s="909">
        <v>1</v>
      </c>
      <c r="L1011" s="909">
        <v>12</v>
      </c>
      <c r="M1011" s="907">
        <v>74260.800000000003</v>
      </c>
      <c r="N1011" s="908">
        <v>1</v>
      </c>
      <c r="O1011" s="908">
        <v>6</v>
      </c>
      <c r="P1011" s="907">
        <v>37044.9</v>
      </c>
      <c r="R1011" s="890"/>
    </row>
    <row r="1012" spans="1:18" s="276" customFormat="1" ht="15.95" customHeight="1">
      <c r="A1012" s="908" t="s">
        <v>3199</v>
      </c>
      <c r="B1012" s="908" t="s">
        <v>1402</v>
      </c>
      <c r="C1012" s="908" t="s">
        <v>96</v>
      </c>
      <c r="D1012" s="910" t="s">
        <v>3408</v>
      </c>
      <c r="E1012" s="907">
        <v>7000</v>
      </c>
      <c r="F1012" s="908" t="s">
        <v>3435</v>
      </c>
      <c r="G1012" s="910" t="s">
        <v>3436</v>
      </c>
      <c r="H1012" s="911" t="s">
        <v>2743</v>
      </c>
      <c r="I1012" s="911" t="s">
        <v>2863</v>
      </c>
      <c r="J1012" s="910" t="s">
        <v>2743</v>
      </c>
      <c r="K1012" s="909">
        <v>1</v>
      </c>
      <c r="L1012" s="909">
        <v>12</v>
      </c>
      <c r="M1012" s="907">
        <v>68260.800000000003</v>
      </c>
      <c r="N1012" s="908"/>
      <c r="O1012" s="908"/>
      <c r="P1012" s="907"/>
      <c r="R1012" s="890"/>
    </row>
    <row r="1013" spans="1:18" s="276" customFormat="1" ht="15.95" customHeight="1">
      <c r="A1013" s="908" t="s">
        <v>3199</v>
      </c>
      <c r="B1013" s="908" t="s">
        <v>1402</v>
      </c>
      <c r="C1013" s="908" t="s">
        <v>96</v>
      </c>
      <c r="D1013" s="910" t="s">
        <v>3408</v>
      </c>
      <c r="E1013" s="907">
        <v>5000</v>
      </c>
      <c r="F1013" s="908" t="s">
        <v>3437</v>
      </c>
      <c r="G1013" s="910" t="s">
        <v>3438</v>
      </c>
      <c r="H1013" s="911" t="s">
        <v>3323</v>
      </c>
      <c r="I1013" s="911" t="s">
        <v>2863</v>
      </c>
      <c r="J1013" s="910" t="s">
        <v>3323</v>
      </c>
      <c r="K1013" s="909">
        <v>1</v>
      </c>
      <c r="L1013" s="909">
        <v>12</v>
      </c>
      <c r="M1013" s="907">
        <v>52824.14</v>
      </c>
      <c r="N1013" s="908">
        <v>1</v>
      </c>
      <c r="O1013" s="908">
        <v>6</v>
      </c>
      <c r="P1013" s="907">
        <v>31044.9</v>
      </c>
      <c r="R1013" s="890"/>
    </row>
    <row r="1014" spans="1:18" s="276" customFormat="1" ht="15.95" customHeight="1">
      <c r="A1014" s="908" t="s">
        <v>3199</v>
      </c>
      <c r="B1014" s="908" t="s">
        <v>1402</v>
      </c>
      <c r="C1014" s="908" t="s">
        <v>96</v>
      </c>
      <c r="D1014" s="910" t="s">
        <v>3408</v>
      </c>
      <c r="E1014" s="907">
        <v>6000</v>
      </c>
      <c r="F1014" s="908" t="s">
        <v>3439</v>
      </c>
      <c r="G1014" s="910" t="s">
        <v>3440</v>
      </c>
      <c r="H1014" s="911" t="s">
        <v>3323</v>
      </c>
      <c r="I1014" s="911" t="s">
        <v>2863</v>
      </c>
      <c r="J1014" s="910" t="s">
        <v>3323</v>
      </c>
      <c r="K1014" s="909">
        <v>1</v>
      </c>
      <c r="L1014" s="909">
        <v>12</v>
      </c>
      <c r="M1014" s="907">
        <v>60554.14</v>
      </c>
      <c r="N1014" s="908">
        <v>1</v>
      </c>
      <c r="O1014" s="908">
        <v>6</v>
      </c>
      <c r="P1014" s="907">
        <v>37044.9</v>
      </c>
      <c r="R1014" s="890"/>
    </row>
    <row r="1015" spans="1:18" s="276" customFormat="1" ht="15.95" customHeight="1">
      <c r="A1015" s="908" t="s">
        <v>3199</v>
      </c>
      <c r="B1015" s="908" t="s">
        <v>1402</v>
      </c>
      <c r="C1015" s="908" t="s">
        <v>96</v>
      </c>
      <c r="D1015" s="910" t="s">
        <v>3408</v>
      </c>
      <c r="E1015" s="907">
        <v>4000</v>
      </c>
      <c r="F1015" s="908" t="s">
        <v>3441</v>
      </c>
      <c r="G1015" s="910" t="s">
        <v>3442</v>
      </c>
      <c r="H1015" s="911" t="s">
        <v>3323</v>
      </c>
      <c r="I1015" s="911" t="s">
        <v>2863</v>
      </c>
      <c r="J1015" s="910" t="s">
        <v>3323</v>
      </c>
      <c r="K1015" s="909">
        <v>1</v>
      </c>
      <c r="L1015" s="909">
        <v>12</v>
      </c>
      <c r="M1015" s="907">
        <v>50257.47</v>
      </c>
      <c r="N1015" s="908">
        <v>1</v>
      </c>
      <c r="O1015" s="908">
        <v>6</v>
      </c>
      <c r="P1015" s="907">
        <v>25044.9</v>
      </c>
      <c r="R1015" s="890"/>
    </row>
    <row r="1016" spans="1:18" s="276" customFormat="1" ht="15.95" customHeight="1">
      <c r="A1016" s="908" t="s">
        <v>3199</v>
      </c>
      <c r="B1016" s="908" t="s">
        <v>1402</v>
      </c>
      <c r="C1016" s="908" t="s">
        <v>96</v>
      </c>
      <c r="D1016" s="910" t="s">
        <v>3408</v>
      </c>
      <c r="E1016" s="907">
        <v>3400</v>
      </c>
      <c r="F1016" s="908" t="s">
        <v>3443</v>
      </c>
      <c r="G1016" s="910" t="s">
        <v>3444</v>
      </c>
      <c r="H1016" s="911" t="s">
        <v>1478</v>
      </c>
      <c r="I1016" s="911" t="s">
        <v>2863</v>
      </c>
      <c r="J1016" s="910" t="s">
        <v>1478</v>
      </c>
      <c r="K1016" s="909">
        <v>1</v>
      </c>
      <c r="L1016" s="909">
        <v>12</v>
      </c>
      <c r="M1016" s="907">
        <v>43057.47</v>
      </c>
      <c r="N1016" s="908">
        <v>1</v>
      </c>
      <c r="O1016" s="908">
        <v>6</v>
      </c>
      <c r="P1016" s="907">
        <v>21444.9</v>
      </c>
      <c r="R1016" s="890"/>
    </row>
    <row r="1017" spans="1:18" s="276" customFormat="1" ht="15.95" customHeight="1">
      <c r="A1017" s="908" t="s">
        <v>3199</v>
      </c>
      <c r="B1017" s="908" t="s">
        <v>1402</v>
      </c>
      <c r="C1017" s="908" t="s">
        <v>96</v>
      </c>
      <c r="D1017" s="910" t="s">
        <v>3408</v>
      </c>
      <c r="E1017" s="907">
        <v>5000</v>
      </c>
      <c r="F1017" s="908" t="s">
        <v>3445</v>
      </c>
      <c r="G1017" s="910" t="s">
        <v>3446</v>
      </c>
      <c r="H1017" s="911" t="s">
        <v>3323</v>
      </c>
      <c r="I1017" s="911" t="s">
        <v>2863</v>
      </c>
      <c r="J1017" s="910" t="s">
        <v>3323</v>
      </c>
      <c r="K1017" s="909">
        <v>1</v>
      </c>
      <c r="L1017" s="909">
        <v>12</v>
      </c>
      <c r="M1017" s="907">
        <v>62247.47</v>
      </c>
      <c r="N1017" s="908">
        <v>1</v>
      </c>
      <c r="O1017" s="908">
        <v>6</v>
      </c>
      <c r="P1017" s="907">
        <v>31044.9</v>
      </c>
      <c r="R1017" s="890"/>
    </row>
    <row r="1018" spans="1:18" s="276" customFormat="1" ht="15.95" customHeight="1">
      <c r="A1018" s="908" t="s">
        <v>3199</v>
      </c>
      <c r="B1018" s="908" t="s">
        <v>1402</v>
      </c>
      <c r="C1018" s="908" t="s">
        <v>96</v>
      </c>
      <c r="D1018" s="910" t="s">
        <v>3408</v>
      </c>
      <c r="E1018" s="907">
        <v>5200</v>
      </c>
      <c r="F1018" s="908" t="s">
        <v>3447</v>
      </c>
      <c r="G1018" s="910" t="s">
        <v>3448</v>
      </c>
      <c r="H1018" s="911" t="s">
        <v>3323</v>
      </c>
      <c r="I1018" s="911" t="s">
        <v>2863</v>
      </c>
      <c r="J1018" s="910" t="s">
        <v>3323</v>
      </c>
      <c r="K1018" s="909">
        <v>1</v>
      </c>
      <c r="L1018" s="909">
        <v>12</v>
      </c>
      <c r="M1018" s="907">
        <v>64654.14</v>
      </c>
      <c r="N1018" s="908">
        <v>1</v>
      </c>
      <c r="O1018" s="908">
        <v>2</v>
      </c>
      <c r="P1018" s="907">
        <v>10775.509999999998</v>
      </c>
      <c r="R1018" s="890"/>
    </row>
    <row r="1019" spans="1:18" s="276" customFormat="1" ht="15.95" customHeight="1">
      <c r="A1019" s="908" t="s">
        <v>3199</v>
      </c>
      <c r="B1019" s="908" t="s">
        <v>1402</v>
      </c>
      <c r="C1019" s="908" t="s">
        <v>96</v>
      </c>
      <c r="D1019" s="910" t="s">
        <v>3408</v>
      </c>
      <c r="E1019" s="907">
        <v>4000</v>
      </c>
      <c r="F1019" s="908" t="s">
        <v>3449</v>
      </c>
      <c r="G1019" s="910" t="s">
        <v>3450</v>
      </c>
      <c r="H1019" s="911" t="s">
        <v>2743</v>
      </c>
      <c r="I1019" s="911" t="s">
        <v>1420</v>
      </c>
      <c r="J1019" s="910" t="s">
        <v>2743</v>
      </c>
      <c r="K1019" s="909">
        <v>1</v>
      </c>
      <c r="L1019" s="909">
        <v>12</v>
      </c>
      <c r="M1019" s="907">
        <v>50260.800000000003</v>
      </c>
      <c r="N1019" s="908">
        <v>1</v>
      </c>
      <c r="O1019" s="908">
        <v>6</v>
      </c>
      <c r="P1019" s="907">
        <v>25044.9</v>
      </c>
      <c r="R1019" s="890"/>
    </row>
    <row r="1020" spans="1:18" s="276" customFormat="1" ht="15.95" customHeight="1">
      <c r="A1020" s="908" t="s">
        <v>3199</v>
      </c>
      <c r="B1020" s="908" t="s">
        <v>1402</v>
      </c>
      <c r="C1020" s="908" t="s">
        <v>96</v>
      </c>
      <c r="D1020" s="910" t="s">
        <v>3408</v>
      </c>
      <c r="E1020" s="907">
        <v>5000</v>
      </c>
      <c r="F1020" s="908" t="s">
        <v>3451</v>
      </c>
      <c r="G1020" s="910" t="s">
        <v>3452</v>
      </c>
      <c r="H1020" s="911" t="s">
        <v>3323</v>
      </c>
      <c r="I1020" s="911" t="s">
        <v>2863</v>
      </c>
      <c r="J1020" s="910" t="s">
        <v>3323</v>
      </c>
      <c r="K1020" s="909">
        <v>1</v>
      </c>
      <c r="L1020" s="909">
        <v>12</v>
      </c>
      <c r="M1020" s="907">
        <v>60260.800000000003</v>
      </c>
      <c r="N1020" s="908">
        <v>1</v>
      </c>
      <c r="O1020" s="908">
        <v>6</v>
      </c>
      <c r="P1020" s="907">
        <v>31044.9</v>
      </c>
      <c r="R1020" s="890"/>
    </row>
    <row r="1021" spans="1:18" s="276" customFormat="1" ht="15.95" customHeight="1">
      <c r="A1021" s="908" t="s">
        <v>3199</v>
      </c>
      <c r="B1021" s="908" t="s">
        <v>1402</v>
      </c>
      <c r="C1021" s="908" t="s">
        <v>96</v>
      </c>
      <c r="D1021" s="910" t="s">
        <v>3408</v>
      </c>
      <c r="E1021" s="907">
        <v>5000</v>
      </c>
      <c r="F1021" s="908" t="s">
        <v>3453</v>
      </c>
      <c r="G1021" s="910" t="s">
        <v>3454</v>
      </c>
      <c r="H1021" s="911" t="s">
        <v>3323</v>
      </c>
      <c r="I1021" s="911" t="s">
        <v>2863</v>
      </c>
      <c r="J1021" s="910" t="s">
        <v>3323</v>
      </c>
      <c r="K1021" s="909">
        <v>1</v>
      </c>
      <c r="L1021" s="909">
        <v>12</v>
      </c>
      <c r="M1021" s="907">
        <v>61260.800000000003</v>
      </c>
      <c r="N1021" s="908">
        <v>1</v>
      </c>
      <c r="O1021" s="908">
        <v>6</v>
      </c>
      <c r="P1021" s="907">
        <v>31044.9</v>
      </c>
      <c r="R1021" s="890"/>
    </row>
    <row r="1022" spans="1:18" s="276" customFormat="1" ht="15.95" customHeight="1">
      <c r="A1022" s="908" t="s">
        <v>3199</v>
      </c>
      <c r="B1022" s="908" t="s">
        <v>1402</v>
      </c>
      <c r="C1022" s="908" t="s">
        <v>96</v>
      </c>
      <c r="D1022" s="910" t="s">
        <v>3408</v>
      </c>
      <c r="E1022" s="907">
        <v>7000</v>
      </c>
      <c r="F1022" s="908" t="s">
        <v>3455</v>
      </c>
      <c r="G1022" s="910" t="s">
        <v>3456</v>
      </c>
      <c r="H1022" s="911" t="s">
        <v>3323</v>
      </c>
      <c r="I1022" s="911" t="s">
        <v>2863</v>
      </c>
      <c r="J1022" s="910" t="s">
        <v>3323</v>
      </c>
      <c r="K1022" s="909">
        <v>1</v>
      </c>
      <c r="L1022" s="909">
        <v>10</v>
      </c>
      <c r="M1022" s="907">
        <v>70452.67</v>
      </c>
      <c r="N1022" s="908">
        <v>1</v>
      </c>
      <c r="O1022" s="908">
        <v>6</v>
      </c>
      <c r="P1022" s="907">
        <v>48806.9</v>
      </c>
      <c r="R1022" s="890"/>
    </row>
    <row r="1023" spans="1:18" s="276" customFormat="1" ht="15.95" customHeight="1">
      <c r="A1023" s="908" t="s">
        <v>3199</v>
      </c>
      <c r="B1023" s="908" t="s">
        <v>1402</v>
      </c>
      <c r="C1023" s="908" t="s">
        <v>96</v>
      </c>
      <c r="D1023" s="910" t="s">
        <v>3408</v>
      </c>
      <c r="E1023" s="907">
        <v>5000</v>
      </c>
      <c r="F1023" s="908" t="s">
        <v>3457</v>
      </c>
      <c r="G1023" s="910" t="s">
        <v>3458</v>
      </c>
      <c r="H1023" s="911" t="s">
        <v>3323</v>
      </c>
      <c r="I1023" s="911" t="s">
        <v>2863</v>
      </c>
      <c r="J1023" s="910" t="s">
        <v>3323</v>
      </c>
      <c r="K1023" s="909">
        <v>1</v>
      </c>
      <c r="L1023" s="909">
        <v>12</v>
      </c>
      <c r="M1023" s="907">
        <v>62807.47</v>
      </c>
      <c r="N1023" s="908">
        <v>1</v>
      </c>
      <c r="O1023" s="908">
        <v>6</v>
      </c>
      <c r="P1023" s="907">
        <v>31044.9</v>
      </c>
      <c r="R1023" s="890"/>
    </row>
    <row r="1024" spans="1:18" s="276" customFormat="1" ht="15.95" customHeight="1">
      <c r="A1024" s="908" t="s">
        <v>3199</v>
      </c>
      <c r="B1024" s="908" t="s">
        <v>1402</v>
      </c>
      <c r="C1024" s="908" t="s">
        <v>96</v>
      </c>
      <c r="D1024" s="910" t="s">
        <v>3408</v>
      </c>
      <c r="E1024" s="907">
        <v>6000</v>
      </c>
      <c r="F1024" s="908" t="s">
        <v>3459</v>
      </c>
      <c r="G1024" s="910" t="s">
        <v>3460</v>
      </c>
      <c r="H1024" s="911" t="s">
        <v>2743</v>
      </c>
      <c r="I1024" s="911" t="s">
        <v>1420</v>
      </c>
      <c r="J1024" s="910" t="s">
        <v>2743</v>
      </c>
      <c r="K1024" s="909">
        <v>1</v>
      </c>
      <c r="L1024" s="909">
        <v>12</v>
      </c>
      <c r="M1024" s="907">
        <v>74260.800000000003</v>
      </c>
      <c r="N1024" s="908">
        <v>1</v>
      </c>
      <c r="O1024" s="908">
        <v>6</v>
      </c>
      <c r="P1024" s="907">
        <v>37044.9</v>
      </c>
      <c r="R1024" s="890"/>
    </row>
    <row r="1025" spans="1:18" s="276" customFormat="1" ht="15.95" customHeight="1">
      <c r="A1025" s="908" t="s">
        <v>3199</v>
      </c>
      <c r="B1025" s="908" t="s">
        <v>1402</v>
      </c>
      <c r="C1025" s="908" t="s">
        <v>96</v>
      </c>
      <c r="D1025" s="910" t="s">
        <v>3408</v>
      </c>
      <c r="E1025" s="907">
        <v>4000</v>
      </c>
      <c r="F1025" s="908" t="s">
        <v>3461</v>
      </c>
      <c r="G1025" s="910" t="s">
        <v>3462</v>
      </c>
      <c r="H1025" s="911" t="s">
        <v>3323</v>
      </c>
      <c r="I1025" s="911" t="s">
        <v>2863</v>
      </c>
      <c r="J1025" s="910" t="s">
        <v>3323</v>
      </c>
      <c r="K1025" s="909">
        <v>1</v>
      </c>
      <c r="L1025" s="909">
        <v>12</v>
      </c>
      <c r="M1025" s="907">
        <v>53260.800000000003</v>
      </c>
      <c r="N1025" s="908">
        <v>1</v>
      </c>
      <c r="O1025" s="908">
        <v>6</v>
      </c>
      <c r="P1025" s="907">
        <v>25044.9</v>
      </c>
      <c r="R1025" s="890"/>
    </row>
    <row r="1026" spans="1:18" s="276" customFormat="1" ht="15.95" customHeight="1">
      <c r="A1026" s="908" t="s">
        <v>3199</v>
      </c>
      <c r="B1026" s="908" t="s">
        <v>1402</v>
      </c>
      <c r="C1026" s="908" t="s">
        <v>96</v>
      </c>
      <c r="D1026" s="910" t="s">
        <v>3408</v>
      </c>
      <c r="E1026" s="907">
        <v>7500</v>
      </c>
      <c r="F1026" s="908" t="s">
        <v>3463</v>
      </c>
      <c r="G1026" s="910" t="s">
        <v>3464</v>
      </c>
      <c r="H1026" s="911" t="s">
        <v>3323</v>
      </c>
      <c r="I1026" s="911" t="s">
        <v>2863</v>
      </c>
      <c r="J1026" s="910" t="s">
        <v>3323</v>
      </c>
      <c r="K1026" s="909">
        <v>1</v>
      </c>
      <c r="L1026" s="909">
        <v>12</v>
      </c>
      <c r="M1026" s="907">
        <v>92260.800000000003</v>
      </c>
      <c r="N1026" s="908">
        <v>1</v>
      </c>
      <c r="O1026" s="908">
        <v>6</v>
      </c>
      <c r="P1026" s="907">
        <v>46044.9</v>
      </c>
      <c r="R1026" s="890"/>
    </row>
    <row r="1027" spans="1:18" s="276" customFormat="1" ht="15.95" customHeight="1">
      <c r="A1027" s="908" t="s">
        <v>3199</v>
      </c>
      <c r="B1027" s="908" t="s">
        <v>1402</v>
      </c>
      <c r="C1027" s="908" t="s">
        <v>96</v>
      </c>
      <c r="D1027" s="910" t="s">
        <v>3465</v>
      </c>
      <c r="E1027" s="907">
        <v>5500</v>
      </c>
      <c r="F1027" s="908" t="s">
        <v>3466</v>
      </c>
      <c r="G1027" s="910" t="s">
        <v>3467</v>
      </c>
      <c r="H1027" s="911" t="s">
        <v>3468</v>
      </c>
      <c r="I1027" s="911" t="s">
        <v>2863</v>
      </c>
      <c r="J1027" s="910" t="s">
        <v>3469</v>
      </c>
      <c r="K1027" s="909">
        <v>1</v>
      </c>
      <c r="L1027" s="909">
        <v>12</v>
      </c>
      <c r="M1027" s="907">
        <v>66360.800000000003</v>
      </c>
      <c r="N1027" s="908">
        <v>1</v>
      </c>
      <c r="O1027" s="908">
        <v>6</v>
      </c>
      <c r="P1027" s="907">
        <v>34044.9</v>
      </c>
      <c r="R1027" s="890"/>
    </row>
    <row r="1028" spans="1:18" s="276" customFormat="1" ht="15.95" customHeight="1">
      <c r="A1028" s="908" t="s">
        <v>3199</v>
      </c>
      <c r="B1028" s="908" t="s">
        <v>1402</v>
      </c>
      <c r="C1028" s="908" t="s">
        <v>96</v>
      </c>
      <c r="D1028" s="910" t="s">
        <v>3465</v>
      </c>
      <c r="E1028" s="907">
        <v>4000</v>
      </c>
      <c r="F1028" s="908" t="s">
        <v>3470</v>
      </c>
      <c r="G1028" s="910" t="s">
        <v>3471</v>
      </c>
      <c r="H1028" s="911" t="s">
        <v>2743</v>
      </c>
      <c r="I1028" s="911" t="s">
        <v>2863</v>
      </c>
      <c r="J1028" s="910" t="s">
        <v>2743</v>
      </c>
      <c r="K1028" s="909">
        <v>1</v>
      </c>
      <c r="L1028" s="909">
        <v>12</v>
      </c>
      <c r="M1028" s="907">
        <v>51760.800000000003</v>
      </c>
      <c r="N1028" s="908">
        <v>1</v>
      </c>
      <c r="O1028" s="908">
        <v>6</v>
      </c>
      <c r="P1028" s="907">
        <v>25044.9</v>
      </c>
      <c r="R1028" s="890"/>
    </row>
    <row r="1029" spans="1:18" s="276" customFormat="1" ht="15.95" customHeight="1">
      <c r="A1029" s="908" t="s">
        <v>3199</v>
      </c>
      <c r="B1029" s="908" t="s">
        <v>1402</v>
      </c>
      <c r="C1029" s="908" t="s">
        <v>96</v>
      </c>
      <c r="D1029" s="910" t="s">
        <v>3465</v>
      </c>
      <c r="E1029" s="907">
        <v>3000</v>
      </c>
      <c r="F1029" s="908" t="s">
        <v>3472</v>
      </c>
      <c r="G1029" s="910" t="s">
        <v>3473</v>
      </c>
      <c r="H1029" s="911" t="s">
        <v>2743</v>
      </c>
      <c r="I1029" s="911" t="s">
        <v>2863</v>
      </c>
      <c r="J1029" s="910" t="s">
        <v>2743</v>
      </c>
      <c r="K1029" s="909">
        <v>1</v>
      </c>
      <c r="L1029" s="909">
        <v>12</v>
      </c>
      <c r="M1029" s="907">
        <v>37760.800000000003</v>
      </c>
      <c r="N1029" s="908">
        <v>1</v>
      </c>
      <c r="O1029" s="908">
        <v>6</v>
      </c>
      <c r="P1029" s="907">
        <v>19044.900000000001</v>
      </c>
      <c r="R1029" s="890"/>
    </row>
    <row r="1030" spans="1:18" s="276" customFormat="1" ht="15.95" customHeight="1">
      <c r="A1030" s="908" t="s">
        <v>3199</v>
      </c>
      <c r="B1030" s="908" t="s">
        <v>1402</v>
      </c>
      <c r="C1030" s="908" t="s">
        <v>96</v>
      </c>
      <c r="D1030" s="910" t="s">
        <v>3465</v>
      </c>
      <c r="E1030" s="907">
        <v>3900</v>
      </c>
      <c r="F1030" s="908" t="s">
        <v>3474</v>
      </c>
      <c r="G1030" s="910" t="s">
        <v>3475</v>
      </c>
      <c r="H1030" s="911" t="s">
        <v>2743</v>
      </c>
      <c r="I1030" s="911" t="s">
        <v>2863</v>
      </c>
      <c r="J1030" s="910" t="s">
        <v>2743</v>
      </c>
      <c r="K1030" s="909">
        <v>1</v>
      </c>
      <c r="L1030" s="909">
        <v>12</v>
      </c>
      <c r="M1030" s="907">
        <v>49660.800000000003</v>
      </c>
      <c r="N1030" s="908"/>
      <c r="O1030" s="908"/>
      <c r="P1030" s="907"/>
      <c r="R1030" s="890"/>
    </row>
    <row r="1031" spans="1:18" s="276" customFormat="1" ht="15.95" customHeight="1">
      <c r="A1031" s="908" t="s">
        <v>3199</v>
      </c>
      <c r="B1031" s="908" t="s">
        <v>1402</v>
      </c>
      <c r="C1031" s="908" t="s">
        <v>96</v>
      </c>
      <c r="D1031" s="910" t="s">
        <v>3465</v>
      </c>
      <c r="E1031" s="907">
        <v>3900</v>
      </c>
      <c r="F1031" s="908" t="s">
        <v>3476</v>
      </c>
      <c r="G1031" s="910" t="s">
        <v>3477</v>
      </c>
      <c r="H1031" s="911" t="s">
        <v>2743</v>
      </c>
      <c r="I1031" s="911" t="s">
        <v>2863</v>
      </c>
      <c r="J1031" s="910" t="s">
        <v>2743</v>
      </c>
      <c r="K1031" s="909">
        <v>1</v>
      </c>
      <c r="L1031" s="909">
        <v>12</v>
      </c>
      <c r="M1031" s="907">
        <v>49710.8</v>
      </c>
      <c r="N1031" s="908">
        <v>1</v>
      </c>
      <c r="O1031" s="908">
        <v>6</v>
      </c>
      <c r="P1031" s="907">
        <v>24444.9</v>
      </c>
      <c r="R1031" s="890"/>
    </row>
    <row r="1032" spans="1:18" s="276" customFormat="1" ht="15.95" customHeight="1">
      <c r="A1032" s="908" t="s">
        <v>3199</v>
      </c>
      <c r="B1032" s="908" t="s">
        <v>1402</v>
      </c>
      <c r="C1032" s="908" t="s">
        <v>96</v>
      </c>
      <c r="D1032" s="910" t="s">
        <v>3465</v>
      </c>
      <c r="E1032" s="907">
        <v>4500</v>
      </c>
      <c r="F1032" s="908" t="s">
        <v>3478</v>
      </c>
      <c r="G1032" s="910" t="s">
        <v>3479</v>
      </c>
      <c r="H1032" s="911" t="s">
        <v>2743</v>
      </c>
      <c r="I1032" s="911" t="s">
        <v>2863</v>
      </c>
      <c r="J1032" s="910" t="s">
        <v>2743</v>
      </c>
      <c r="K1032" s="909">
        <v>1</v>
      </c>
      <c r="L1032" s="909">
        <v>12</v>
      </c>
      <c r="M1032" s="907">
        <v>57260.800000000003</v>
      </c>
      <c r="N1032" s="908">
        <v>1</v>
      </c>
      <c r="O1032" s="908">
        <v>6</v>
      </c>
      <c r="P1032" s="907">
        <v>28044.9</v>
      </c>
      <c r="R1032" s="890"/>
    </row>
    <row r="1033" spans="1:18" s="276" customFormat="1" ht="15.95" customHeight="1">
      <c r="A1033" s="908" t="s">
        <v>3199</v>
      </c>
      <c r="B1033" s="908" t="s">
        <v>1402</v>
      </c>
      <c r="C1033" s="908" t="s">
        <v>96</v>
      </c>
      <c r="D1033" s="910" t="s">
        <v>3465</v>
      </c>
      <c r="E1033" s="907">
        <v>6000</v>
      </c>
      <c r="F1033" s="908" t="s">
        <v>3480</v>
      </c>
      <c r="G1033" s="910" t="s">
        <v>3481</v>
      </c>
      <c r="H1033" s="911" t="s">
        <v>2743</v>
      </c>
      <c r="I1033" s="911" t="s">
        <v>2863</v>
      </c>
      <c r="J1033" s="910" t="s">
        <v>2743</v>
      </c>
      <c r="K1033" s="909">
        <v>1</v>
      </c>
      <c r="L1033" s="909">
        <v>12</v>
      </c>
      <c r="M1033" s="907">
        <v>73760.800000000003</v>
      </c>
      <c r="N1033" s="908">
        <v>1</v>
      </c>
      <c r="O1033" s="908">
        <v>6</v>
      </c>
      <c r="P1033" s="907">
        <v>37044.9</v>
      </c>
      <c r="R1033" s="890"/>
    </row>
    <row r="1034" spans="1:18" s="276" customFormat="1" ht="15.95" customHeight="1">
      <c r="A1034" s="908" t="s">
        <v>3199</v>
      </c>
      <c r="B1034" s="908" t="s">
        <v>1402</v>
      </c>
      <c r="C1034" s="908" t="s">
        <v>96</v>
      </c>
      <c r="D1034" s="910" t="s">
        <v>3465</v>
      </c>
      <c r="E1034" s="907">
        <v>4000</v>
      </c>
      <c r="F1034" s="908" t="s">
        <v>3482</v>
      </c>
      <c r="G1034" s="910" t="s">
        <v>3483</v>
      </c>
      <c r="H1034" s="911" t="s">
        <v>3323</v>
      </c>
      <c r="I1034" s="911" t="s">
        <v>2863</v>
      </c>
      <c r="J1034" s="910" t="s">
        <v>3323</v>
      </c>
      <c r="K1034" s="909">
        <v>1</v>
      </c>
      <c r="L1034" s="909">
        <v>12</v>
      </c>
      <c r="M1034" s="907">
        <v>50760.800000000003</v>
      </c>
      <c r="N1034" s="908">
        <v>1</v>
      </c>
      <c r="O1034" s="908">
        <v>6</v>
      </c>
      <c r="P1034" s="907">
        <v>25044.9</v>
      </c>
      <c r="R1034" s="890"/>
    </row>
    <row r="1035" spans="1:18" s="276" customFormat="1" ht="15.95" customHeight="1">
      <c r="A1035" s="908" t="s">
        <v>3199</v>
      </c>
      <c r="B1035" s="908" t="s">
        <v>1402</v>
      </c>
      <c r="C1035" s="908" t="s">
        <v>96</v>
      </c>
      <c r="D1035" s="910" t="s">
        <v>3465</v>
      </c>
      <c r="E1035" s="907">
        <v>4000</v>
      </c>
      <c r="F1035" s="908" t="s">
        <v>3484</v>
      </c>
      <c r="G1035" s="910" t="s">
        <v>3485</v>
      </c>
      <c r="H1035" s="911" t="s">
        <v>2743</v>
      </c>
      <c r="I1035" s="911" t="s">
        <v>1420</v>
      </c>
      <c r="J1035" s="910" t="s">
        <v>2743</v>
      </c>
      <c r="K1035" s="909">
        <v>1</v>
      </c>
      <c r="L1035" s="909">
        <v>12</v>
      </c>
      <c r="M1035" s="907">
        <v>53257.47</v>
      </c>
      <c r="N1035" s="908">
        <v>1</v>
      </c>
      <c r="O1035" s="908">
        <v>6</v>
      </c>
      <c r="P1035" s="907">
        <v>25044.9</v>
      </c>
      <c r="R1035" s="890"/>
    </row>
    <row r="1036" spans="1:18" s="276" customFormat="1" ht="15.95" customHeight="1">
      <c r="A1036" s="908" t="s">
        <v>3199</v>
      </c>
      <c r="B1036" s="908" t="s">
        <v>1402</v>
      </c>
      <c r="C1036" s="908" t="s">
        <v>96</v>
      </c>
      <c r="D1036" s="910" t="s">
        <v>3465</v>
      </c>
      <c r="E1036" s="907">
        <v>5000</v>
      </c>
      <c r="F1036" s="908" t="s">
        <v>3486</v>
      </c>
      <c r="G1036" s="910" t="s">
        <v>3487</v>
      </c>
      <c r="H1036" s="911" t="s">
        <v>2743</v>
      </c>
      <c r="I1036" s="911" t="s">
        <v>2863</v>
      </c>
      <c r="J1036" s="910" t="s">
        <v>2743</v>
      </c>
      <c r="K1036" s="909">
        <v>1</v>
      </c>
      <c r="L1036" s="909">
        <v>12</v>
      </c>
      <c r="M1036" s="907">
        <v>62760.800000000003</v>
      </c>
      <c r="N1036" s="908">
        <v>1</v>
      </c>
      <c r="O1036" s="908">
        <v>3</v>
      </c>
      <c r="P1036" s="907">
        <v>21372.45</v>
      </c>
      <c r="R1036" s="890"/>
    </row>
    <row r="1037" spans="1:18" s="276" customFormat="1" ht="15.95" customHeight="1">
      <c r="A1037" s="908" t="s">
        <v>3199</v>
      </c>
      <c r="B1037" s="908" t="s">
        <v>1402</v>
      </c>
      <c r="C1037" s="908" t="s">
        <v>96</v>
      </c>
      <c r="D1037" s="910" t="s">
        <v>3465</v>
      </c>
      <c r="E1037" s="907">
        <v>4000</v>
      </c>
      <c r="F1037" s="908" t="s">
        <v>3488</v>
      </c>
      <c r="G1037" s="910" t="s">
        <v>3489</v>
      </c>
      <c r="H1037" s="911" t="s">
        <v>2743</v>
      </c>
      <c r="I1037" s="911" t="s">
        <v>2863</v>
      </c>
      <c r="J1037" s="910" t="s">
        <v>2743</v>
      </c>
      <c r="K1037" s="909">
        <v>1</v>
      </c>
      <c r="L1037" s="909">
        <v>12</v>
      </c>
      <c r="M1037" s="907">
        <v>50254.130000000005</v>
      </c>
      <c r="N1037" s="908">
        <v>1</v>
      </c>
      <c r="O1037" s="908">
        <v>6</v>
      </c>
      <c r="P1037" s="907">
        <v>25044.9</v>
      </c>
      <c r="R1037" s="890"/>
    </row>
    <row r="1038" spans="1:18" s="276" customFormat="1" ht="15.95" customHeight="1">
      <c r="A1038" s="908" t="s">
        <v>3199</v>
      </c>
      <c r="B1038" s="908" t="s">
        <v>1402</v>
      </c>
      <c r="C1038" s="908" t="s">
        <v>96</v>
      </c>
      <c r="D1038" s="910" t="s">
        <v>3465</v>
      </c>
      <c r="E1038" s="907">
        <v>7000</v>
      </c>
      <c r="F1038" s="908" t="s">
        <v>3490</v>
      </c>
      <c r="G1038" s="910" t="s">
        <v>3491</v>
      </c>
      <c r="H1038" s="911" t="s">
        <v>2743</v>
      </c>
      <c r="I1038" s="911" t="s">
        <v>2863</v>
      </c>
      <c r="J1038" s="910" t="s">
        <v>2743</v>
      </c>
      <c r="K1038" s="909">
        <v>1</v>
      </c>
      <c r="L1038" s="909">
        <v>12</v>
      </c>
      <c r="M1038" s="907">
        <v>86257.47</v>
      </c>
      <c r="N1038" s="908">
        <v>1</v>
      </c>
      <c r="O1038" s="908">
        <v>6</v>
      </c>
      <c r="P1038" s="907">
        <v>43044.9</v>
      </c>
      <c r="R1038" s="890"/>
    </row>
    <row r="1039" spans="1:18" s="276" customFormat="1" ht="15.95" customHeight="1">
      <c r="A1039" s="908" t="s">
        <v>3199</v>
      </c>
      <c r="B1039" s="908" t="s">
        <v>1402</v>
      </c>
      <c r="C1039" s="908" t="s">
        <v>96</v>
      </c>
      <c r="D1039" s="910" t="s">
        <v>3465</v>
      </c>
      <c r="E1039" s="907">
        <v>3500</v>
      </c>
      <c r="F1039" s="908" t="s">
        <v>3492</v>
      </c>
      <c r="G1039" s="910" t="s">
        <v>3493</v>
      </c>
      <c r="H1039" s="911" t="s">
        <v>2743</v>
      </c>
      <c r="I1039" s="911" t="s">
        <v>2863</v>
      </c>
      <c r="J1039" s="910" t="s">
        <v>2743</v>
      </c>
      <c r="K1039" s="909">
        <v>1</v>
      </c>
      <c r="L1039" s="909">
        <v>12</v>
      </c>
      <c r="M1039" s="907">
        <v>40264.130000000005</v>
      </c>
      <c r="N1039" s="908">
        <v>1</v>
      </c>
      <c r="O1039" s="908">
        <v>6</v>
      </c>
      <c r="P1039" s="907">
        <v>22044.9</v>
      </c>
      <c r="R1039" s="890"/>
    </row>
    <row r="1040" spans="1:18" s="276" customFormat="1" ht="15.95" customHeight="1">
      <c r="A1040" s="908" t="s">
        <v>3199</v>
      </c>
      <c r="B1040" s="908" t="s">
        <v>1402</v>
      </c>
      <c r="C1040" s="908" t="s">
        <v>96</v>
      </c>
      <c r="D1040" s="910" t="s">
        <v>3465</v>
      </c>
      <c r="E1040" s="907">
        <v>6000</v>
      </c>
      <c r="F1040" s="908" t="s">
        <v>3494</v>
      </c>
      <c r="G1040" s="910" t="s">
        <v>3495</v>
      </c>
      <c r="H1040" s="911" t="s">
        <v>2743</v>
      </c>
      <c r="I1040" s="911" t="s">
        <v>2863</v>
      </c>
      <c r="J1040" s="910" t="s">
        <v>2743</v>
      </c>
      <c r="K1040" s="909">
        <v>1</v>
      </c>
      <c r="L1040" s="909">
        <v>12</v>
      </c>
      <c r="M1040" s="907">
        <v>74260.800000000003</v>
      </c>
      <c r="N1040" s="908">
        <v>1</v>
      </c>
      <c r="O1040" s="908">
        <v>6</v>
      </c>
      <c r="P1040" s="907">
        <v>37044.9</v>
      </c>
      <c r="R1040" s="890"/>
    </row>
    <row r="1041" spans="1:18" s="276" customFormat="1" ht="15.95" customHeight="1">
      <c r="A1041" s="908" t="s">
        <v>3199</v>
      </c>
      <c r="B1041" s="908" t="s">
        <v>1402</v>
      </c>
      <c r="C1041" s="908" t="s">
        <v>96</v>
      </c>
      <c r="D1041" s="910" t="s">
        <v>3465</v>
      </c>
      <c r="E1041" s="907">
        <v>4500</v>
      </c>
      <c r="F1041" s="908" t="s">
        <v>3496</v>
      </c>
      <c r="G1041" s="910" t="s">
        <v>3497</v>
      </c>
      <c r="H1041" s="911" t="s">
        <v>2743</v>
      </c>
      <c r="I1041" s="911" t="s">
        <v>2863</v>
      </c>
      <c r="J1041" s="910" t="s">
        <v>2743</v>
      </c>
      <c r="K1041" s="909">
        <v>1</v>
      </c>
      <c r="L1041" s="909">
        <v>12</v>
      </c>
      <c r="M1041" s="907">
        <v>56260.800000000003</v>
      </c>
      <c r="N1041" s="908">
        <v>1</v>
      </c>
      <c r="O1041" s="908">
        <v>6</v>
      </c>
      <c r="P1041" s="907">
        <v>28044.9</v>
      </c>
      <c r="R1041" s="890"/>
    </row>
    <row r="1042" spans="1:18" s="276" customFormat="1" ht="15.95" customHeight="1">
      <c r="A1042" s="908" t="s">
        <v>3199</v>
      </c>
      <c r="B1042" s="908" t="s">
        <v>1402</v>
      </c>
      <c r="C1042" s="908" t="s">
        <v>96</v>
      </c>
      <c r="D1042" s="910" t="s">
        <v>3465</v>
      </c>
      <c r="E1042" s="907">
        <v>6000</v>
      </c>
      <c r="F1042" s="908" t="s">
        <v>3498</v>
      </c>
      <c r="G1042" s="910" t="s">
        <v>3499</v>
      </c>
      <c r="H1042" s="911" t="s">
        <v>2743</v>
      </c>
      <c r="I1042" s="911" t="s">
        <v>2863</v>
      </c>
      <c r="J1042" s="910" t="s">
        <v>2743</v>
      </c>
      <c r="K1042" s="909">
        <v>1</v>
      </c>
      <c r="L1042" s="909">
        <v>12</v>
      </c>
      <c r="M1042" s="907">
        <v>75257.47</v>
      </c>
      <c r="N1042" s="908">
        <v>1</v>
      </c>
      <c r="O1042" s="908">
        <v>6</v>
      </c>
      <c r="P1042" s="907">
        <v>37044.9</v>
      </c>
      <c r="R1042" s="890"/>
    </row>
    <row r="1043" spans="1:18" s="276" customFormat="1" ht="15.95" customHeight="1">
      <c r="A1043" s="908" t="s">
        <v>3199</v>
      </c>
      <c r="B1043" s="908" t="s">
        <v>1402</v>
      </c>
      <c r="C1043" s="908" t="s">
        <v>96</v>
      </c>
      <c r="D1043" s="910" t="s">
        <v>3465</v>
      </c>
      <c r="E1043" s="907">
        <v>6000</v>
      </c>
      <c r="F1043" s="908" t="s">
        <v>3500</v>
      </c>
      <c r="G1043" s="910" t="s">
        <v>3501</v>
      </c>
      <c r="H1043" s="911" t="s">
        <v>3468</v>
      </c>
      <c r="I1043" s="911" t="s">
        <v>2863</v>
      </c>
      <c r="J1043" s="910" t="s">
        <v>3468</v>
      </c>
      <c r="K1043" s="909">
        <v>1</v>
      </c>
      <c r="L1043" s="909">
        <v>12</v>
      </c>
      <c r="M1043" s="907">
        <v>74257.47</v>
      </c>
      <c r="N1043" s="908">
        <v>1</v>
      </c>
      <c r="O1043" s="908">
        <v>6</v>
      </c>
      <c r="P1043" s="907">
        <v>37044.9</v>
      </c>
      <c r="R1043" s="890"/>
    </row>
    <row r="1044" spans="1:18" s="276" customFormat="1" ht="24">
      <c r="A1044" s="908" t="s">
        <v>3199</v>
      </c>
      <c r="B1044" s="908" t="s">
        <v>1402</v>
      </c>
      <c r="C1044" s="908" t="s">
        <v>96</v>
      </c>
      <c r="D1044" s="910" t="s">
        <v>3465</v>
      </c>
      <c r="E1044" s="907">
        <v>3500</v>
      </c>
      <c r="F1044" s="908" t="s">
        <v>3502</v>
      </c>
      <c r="G1044" s="910" t="s">
        <v>3503</v>
      </c>
      <c r="H1044" s="911" t="s">
        <v>2743</v>
      </c>
      <c r="I1044" s="911" t="s">
        <v>2863</v>
      </c>
      <c r="J1044" s="910" t="s">
        <v>2743</v>
      </c>
      <c r="K1044" s="909">
        <v>1</v>
      </c>
      <c r="L1044" s="909">
        <v>12</v>
      </c>
      <c r="M1044" s="907">
        <v>44260.800000000003</v>
      </c>
      <c r="N1044" s="908">
        <v>1</v>
      </c>
      <c r="O1044" s="908">
        <v>6</v>
      </c>
      <c r="P1044" s="907">
        <v>22044.9</v>
      </c>
      <c r="R1044" s="890"/>
    </row>
    <row r="1045" spans="1:18" s="276" customFormat="1" ht="15.95" customHeight="1">
      <c r="A1045" s="908" t="s">
        <v>3199</v>
      </c>
      <c r="B1045" s="908" t="s">
        <v>1402</v>
      </c>
      <c r="C1045" s="908" t="s">
        <v>96</v>
      </c>
      <c r="D1045" s="910" t="s">
        <v>3465</v>
      </c>
      <c r="E1045" s="907">
        <v>2500</v>
      </c>
      <c r="F1045" s="908" t="s">
        <v>3504</v>
      </c>
      <c r="G1045" s="910" t="s">
        <v>3505</v>
      </c>
      <c r="H1045" s="911" t="s">
        <v>2743</v>
      </c>
      <c r="I1045" s="911" t="s">
        <v>2863</v>
      </c>
      <c r="J1045" s="910" t="s">
        <v>2743</v>
      </c>
      <c r="K1045" s="909">
        <v>1</v>
      </c>
      <c r="L1045" s="909">
        <v>12</v>
      </c>
      <c r="M1045" s="907">
        <v>33057.47</v>
      </c>
      <c r="N1045" s="908">
        <v>1</v>
      </c>
      <c r="O1045" s="908">
        <v>6</v>
      </c>
      <c r="P1045" s="907">
        <v>16044.9</v>
      </c>
      <c r="R1045" s="890"/>
    </row>
    <row r="1046" spans="1:18" s="276" customFormat="1" ht="15.95" customHeight="1">
      <c r="A1046" s="908" t="s">
        <v>3199</v>
      </c>
      <c r="B1046" s="908" t="s">
        <v>1402</v>
      </c>
      <c r="C1046" s="908" t="s">
        <v>96</v>
      </c>
      <c r="D1046" s="910" t="s">
        <v>3465</v>
      </c>
      <c r="E1046" s="907">
        <v>4000</v>
      </c>
      <c r="F1046" s="908" t="s">
        <v>3506</v>
      </c>
      <c r="G1046" s="910" t="s">
        <v>3507</v>
      </c>
      <c r="H1046" s="911" t="s">
        <v>2743</v>
      </c>
      <c r="I1046" s="911" t="s">
        <v>2863</v>
      </c>
      <c r="J1046" s="910" t="s">
        <v>2743</v>
      </c>
      <c r="K1046" s="909">
        <v>1</v>
      </c>
      <c r="L1046" s="909">
        <v>12</v>
      </c>
      <c r="M1046" s="907">
        <v>52260.800000000003</v>
      </c>
      <c r="N1046" s="908">
        <v>1</v>
      </c>
      <c r="O1046" s="908">
        <v>6</v>
      </c>
      <c r="P1046" s="907">
        <v>25044.9</v>
      </c>
      <c r="R1046" s="890"/>
    </row>
    <row r="1047" spans="1:18" s="276" customFormat="1" ht="15.95" customHeight="1">
      <c r="A1047" s="908" t="s">
        <v>3199</v>
      </c>
      <c r="B1047" s="908" t="s">
        <v>1402</v>
      </c>
      <c r="C1047" s="908" t="s">
        <v>96</v>
      </c>
      <c r="D1047" s="910" t="s">
        <v>3465</v>
      </c>
      <c r="E1047" s="907">
        <v>5500</v>
      </c>
      <c r="F1047" s="908" t="s">
        <v>3508</v>
      </c>
      <c r="G1047" s="910" t="s">
        <v>3509</v>
      </c>
      <c r="H1047" s="911" t="s">
        <v>2743</v>
      </c>
      <c r="I1047" s="911" t="s">
        <v>2863</v>
      </c>
      <c r="J1047" s="910" t="s">
        <v>2743</v>
      </c>
      <c r="K1047" s="909">
        <v>1</v>
      </c>
      <c r="L1047" s="909">
        <v>12</v>
      </c>
      <c r="M1047" s="907">
        <v>68260.800000000003</v>
      </c>
      <c r="N1047" s="908">
        <v>1</v>
      </c>
      <c r="O1047" s="908">
        <v>6</v>
      </c>
      <c r="P1047" s="907">
        <v>34044.9</v>
      </c>
      <c r="R1047" s="890"/>
    </row>
    <row r="1048" spans="1:18" s="276" customFormat="1" ht="15.95" customHeight="1">
      <c r="A1048" s="908" t="s">
        <v>3199</v>
      </c>
      <c r="B1048" s="908" t="s">
        <v>1402</v>
      </c>
      <c r="C1048" s="908" t="s">
        <v>96</v>
      </c>
      <c r="D1048" s="910" t="s">
        <v>3465</v>
      </c>
      <c r="E1048" s="907">
        <v>3900</v>
      </c>
      <c r="F1048" s="908" t="s">
        <v>3510</v>
      </c>
      <c r="G1048" s="910" t="s">
        <v>3511</v>
      </c>
      <c r="H1048" s="911" t="s">
        <v>2743</v>
      </c>
      <c r="I1048" s="911" t="s">
        <v>2863</v>
      </c>
      <c r="J1048" s="910" t="s">
        <v>2743</v>
      </c>
      <c r="K1048" s="909">
        <v>1</v>
      </c>
      <c r="L1048" s="909">
        <v>11</v>
      </c>
      <c r="M1048" s="907">
        <v>43849.4</v>
      </c>
      <c r="N1048" s="908">
        <v>1</v>
      </c>
      <c r="O1048" s="908">
        <v>6</v>
      </c>
      <c r="P1048" s="907">
        <v>24444.9</v>
      </c>
      <c r="R1048" s="890"/>
    </row>
    <row r="1049" spans="1:18" s="276" customFormat="1" ht="15.95" customHeight="1">
      <c r="A1049" s="908" t="s">
        <v>3199</v>
      </c>
      <c r="B1049" s="908" t="s">
        <v>1402</v>
      </c>
      <c r="C1049" s="908" t="s">
        <v>96</v>
      </c>
      <c r="D1049" s="910" t="s">
        <v>3465</v>
      </c>
      <c r="E1049" s="907">
        <v>3400</v>
      </c>
      <c r="F1049" s="908" t="s">
        <v>3512</v>
      </c>
      <c r="G1049" s="910" t="s">
        <v>3513</v>
      </c>
      <c r="H1049" s="911" t="s">
        <v>1407</v>
      </c>
      <c r="I1049" s="911" t="s">
        <v>1407</v>
      </c>
      <c r="J1049" s="910" t="s">
        <v>1524</v>
      </c>
      <c r="K1049" s="909">
        <v>1</v>
      </c>
      <c r="L1049" s="909">
        <v>12</v>
      </c>
      <c r="M1049" s="907">
        <v>43360.800000000003</v>
      </c>
      <c r="N1049" s="908">
        <v>1</v>
      </c>
      <c r="O1049" s="908">
        <v>6</v>
      </c>
      <c r="P1049" s="907">
        <v>21444.9</v>
      </c>
      <c r="R1049" s="890"/>
    </row>
    <row r="1050" spans="1:18" s="276" customFormat="1" ht="15.95" customHeight="1">
      <c r="A1050" s="908" t="s">
        <v>3199</v>
      </c>
      <c r="B1050" s="908" t="s">
        <v>1402</v>
      </c>
      <c r="C1050" s="908" t="s">
        <v>96</v>
      </c>
      <c r="D1050" s="910" t="s">
        <v>3465</v>
      </c>
      <c r="E1050" s="907">
        <v>4000</v>
      </c>
      <c r="F1050" s="908" t="s">
        <v>3514</v>
      </c>
      <c r="G1050" s="910" t="s">
        <v>3515</v>
      </c>
      <c r="H1050" s="911" t="s">
        <v>2743</v>
      </c>
      <c r="I1050" s="911" t="s">
        <v>2863</v>
      </c>
      <c r="J1050" s="910" t="s">
        <v>2743</v>
      </c>
      <c r="K1050" s="909">
        <v>1</v>
      </c>
      <c r="L1050" s="909">
        <v>12</v>
      </c>
      <c r="M1050" s="907">
        <v>61560.800000000003</v>
      </c>
      <c r="N1050" s="908">
        <v>1</v>
      </c>
      <c r="O1050" s="908">
        <v>6</v>
      </c>
      <c r="P1050" s="907">
        <v>25044.9</v>
      </c>
      <c r="R1050" s="890"/>
    </row>
    <row r="1051" spans="1:18" s="276" customFormat="1" ht="15.95" customHeight="1">
      <c r="A1051" s="908" t="s">
        <v>3199</v>
      </c>
      <c r="B1051" s="908" t="s">
        <v>1402</v>
      </c>
      <c r="C1051" s="908" t="s">
        <v>96</v>
      </c>
      <c r="D1051" s="910" t="s">
        <v>3465</v>
      </c>
      <c r="E1051" s="907">
        <v>5000</v>
      </c>
      <c r="F1051" s="908" t="s">
        <v>3516</v>
      </c>
      <c r="G1051" s="910" t="s">
        <v>3517</v>
      </c>
      <c r="H1051" s="911" t="s">
        <v>2743</v>
      </c>
      <c r="I1051" s="911" t="s">
        <v>2863</v>
      </c>
      <c r="J1051" s="910" t="s">
        <v>2743</v>
      </c>
      <c r="K1051" s="909">
        <v>1</v>
      </c>
      <c r="L1051" s="909">
        <v>12</v>
      </c>
      <c r="M1051" s="907">
        <v>61760.800000000003</v>
      </c>
      <c r="N1051" s="908">
        <v>1</v>
      </c>
      <c r="O1051" s="908">
        <v>6</v>
      </c>
      <c r="P1051" s="907">
        <v>31044.9</v>
      </c>
      <c r="R1051" s="890"/>
    </row>
    <row r="1052" spans="1:18" s="276" customFormat="1" ht="15.95" customHeight="1">
      <c r="A1052" s="908" t="s">
        <v>3199</v>
      </c>
      <c r="B1052" s="908" t="s">
        <v>1402</v>
      </c>
      <c r="C1052" s="908" t="s">
        <v>96</v>
      </c>
      <c r="D1052" s="910" t="s">
        <v>3465</v>
      </c>
      <c r="E1052" s="907">
        <v>5500</v>
      </c>
      <c r="F1052" s="908" t="s">
        <v>3518</v>
      </c>
      <c r="G1052" s="910" t="s">
        <v>3519</v>
      </c>
      <c r="H1052" s="911" t="s">
        <v>2743</v>
      </c>
      <c r="I1052" s="911" t="s">
        <v>2863</v>
      </c>
      <c r="J1052" s="910" t="s">
        <v>2743</v>
      </c>
      <c r="K1052" s="909">
        <v>1</v>
      </c>
      <c r="L1052" s="909">
        <v>12</v>
      </c>
      <c r="M1052" s="907">
        <v>67960.800000000003</v>
      </c>
      <c r="N1052" s="908">
        <v>1</v>
      </c>
      <c r="O1052" s="908">
        <v>6</v>
      </c>
      <c r="P1052" s="907">
        <v>34044.9</v>
      </c>
      <c r="R1052" s="890"/>
    </row>
    <row r="1053" spans="1:18" s="276" customFormat="1" ht="24">
      <c r="A1053" s="908" t="s">
        <v>3199</v>
      </c>
      <c r="B1053" s="908" t="s">
        <v>1402</v>
      </c>
      <c r="C1053" s="908" t="s">
        <v>96</v>
      </c>
      <c r="D1053" s="910" t="s">
        <v>3520</v>
      </c>
      <c r="E1053" s="907">
        <v>3600</v>
      </c>
      <c r="F1053" s="908" t="s">
        <v>3521</v>
      </c>
      <c r="G1053" s="910" t="s">
        <v>3522</v>
      </c>
      <c r="H1053" s="911" t="s">
        <v>2743</v>
      </c>
      <c r="I1053" s="911" t="s">
        <v>2863</v>
      </c>
      <c r="J1053" s="910" t="s">
        <v>2743</v>
      </c>
      <c r="K1053" s="909">
        <v>1</v>
      </c>
      <c r="L1053" s="909">
        <v>11</v>
      </c>
      <c r="M1053" s="907">
        <v>42284.07</v>
      </c>
      <c r="N1053" s="908">
        <v>1</v>
      </c>
      <c r="O1053" s="908">
        <v>6</v>
      </c>
      <c r="P1053" s="907">
        <v>22644.9</v>
      </c>
      <c r="R1053" s="890"/>
    </row>
    <row r="1054" spans="1:18" s="276" customFormat="1" ht="24">
      <c r="A1054" s="908" t="s">
        <v>3199</v>
      </c>
      <c r="B1054" s="908" t="s">
        <v>1402</v>
      </c>
      <c r="C1054" s="908" t="s">
        <v>96</v>
      </c>
      <c r="D1054" s="910" t="s">
        <v>3520</v>
      </c>
      <c r="E1054" s="907">
        <v>4500</v>
      </c>
      <c r="F1054" s="908" t="s">
        <v>3523</v>
      </c>
      <c r="G1054" s="910" t="s">
        <v>3524</v>
      </c>
      <c r="H1054" s="911" t="s">
        <v>2743</v>
      </c>
      <c r="I1054" s="911" t="s">
        <v>1420</v>
      </c>
      <c r="J1054" s="910" t="s">
        <v>2743</v>
      </c>
      <c r="K1054" s="909">
        <v>1</v>
      </c>
      <c r="L1054" s="909">
        <v>12</v>
      </c>
      <c r="M1054" s="907">
        <v>58760.800000000003</v>
      </c>
      <c r="N1054" s="908">
        <v>1</v>
      </c>
      <c r="O1054" s="908">
        <v>6</v>
      </c>
      <c r="P1054" s="907">
        <v>28044.9</v>
      </c>
      <c r="R1054" s="890"/>
    </row>
    <row r="1055" spans="1:18" s="276" customFormat="1" ht="24">
      <c r="A1055" s="908" t="s">
        <v>3199</v>
      </c>
      <c r="B1055" s="908" t="s">
        <v>1402</v>
      </c>
      <c r="C1055" s="908" t="s">
        <v>96</v>
      </c>
      <c r="D1055" s="910" t="s">
        <v>3520</v>
      </c>
      <c r="E1055" s="907">
        <v>7000</v>
      </c>
      <c r="F1055" s="908" t="s">
        <v>3525</v>
      </c>
      <c r="G1055" s="910" t="s">
        <v>3526</v>
      </c>
      <c r="H1055" s="911" t="s">
        <v>3323</v>
      </c>
      <c r="I1055" s="911" t="s">
        <v>2863</v>
      </c>
      <c r="J1055" s="910" t="s">
        <v>3323</v>
      </c>
      <c r="K1055" s="909">
        <v>1</v>
      </c>
      <c r="L1055" s="909">
        <v>12</v>
      </c>
      <c r="M1055" s="907">
        <v>76104.14</v>
      </c>
      <c r="N1055" s="908">
        <v>1</v>
      </c>
      <c r="O1055" s="908">
        <v>6</v>
      </c>
      <c r="P1055" s="907">
        <v>43044.9</v>
      </c>
      <c r="R1055" s="890"/>
    </row>
    <row r="1056" spans="1:18" s="276" customFormat="1" ht="24">
      <c r="A1056" s="908" t="s">
        <v>3199</v>
      </c>
      <c r="B1056" s="908" t="s">
        <v>1402</v>
      </c>
      <c r="C1056" s="908" t="s">
        <v>96</v>
      </c>
      <c r="D1056" s="910" t="s">
        <v>3520</v>
      </c>
      <c r="E1056" s="907">
        <v>5500</v>
      </c>
      <c r="F1056" s="908" t="s">
        <v>3527</v>
      </c>
      <c r="G1056" s="910" t="s">
        <v>3528</v>
      </c>
      <c r="H1056" s="911" t="s">
        <v>3323</v>
      </c>
      <c r="I1056" s="911" t="s">
        <v>2863</v>
      </c>
      <c r="J1056" s="910" t="s">
        <v>3323</v>
      </c>
      <c r="K1056" s="909">
        <v>1</v>
      </c>
      <c r="L1056" s="909">
        <v>12</v>
      </c>
      <c r="M1056" s="907">
        <v>68260.800000000003</v>
      </c>
      <c r="N1056" s="908">
        <v>1</v>
      </c>
      <c r="O1056" s="908">
        <v>6</v>
      </c>
      <c r="P1056" s="907">
        <v>34044.9</v>
      </c>
      <c r="R1056" s="890"/>
    </row>
    <row r="1057" spans="1:18" s="276" customFormat="1" ht="24">
      <c r="A1057" s="908" t="s">
        <v>3199</v>
      </c>
      <c r="B1057" s="908" t="s">
        <v>1402</v>
      </c>
      <c r="C1057" s="908" t="s">
        <v>96</v>
      </c>
      <c r="D1057" s="910" t="s">
        <v>3520</v>
      </c>
      <c r="E1057" s="907">
        <v>5500</v>
      </c>
      <c r="F1057" s="908" t="s">
        <v>3529</v>
      </c>
      <c r="G1057" s="910" t="s">
        <v>3530</v>
      </c>
      <c r="H1057" s="911" t="s">
        <v>3323</v>
      </c>
      <c r="I1057" s="911" t="s">
        <v>2863</v>
      </c>
      <c r="J1057" s="910" t="s">
        <v>3323</v>
      </c>
      <c r="K1057" s="909">
        <v>1</v>
      </c>
      <c r="L1057" s="909">
        <v>12</v>
      </c>
      <c r="M1057" s="907">
        <v>65260.800000000003</v>
      </c>
      <c r="N1057" s="908">
        <v>1</v>
      </c>
      <c r="O1057" s="908">
        <v>6</v>
      </c>
      <c r="P1057" s="907">
        <v>34044.9</v>
      </c>
      <c r="R1057" s="890"/>
    </row>
    <row r="1058" spans="1:18" s="276" customFormat="1" ht="24">
      <c r="A1058" s="908" t="s">
        <v>3199</v>
      </c>
      <c r="B1058" s="908" t="s">
        <v>1402</v>
      </c>
      <c r="C1058" s="908" t="s">
        <v>96</v>
      </c>
      <c r="D1058" s="910" t="s">
        <v>3520</v>
      </c>
      <c r="E1058" s="907">
        <v>4000</v>
      </c>
      <c r="F1058" s="908" t="s">
        <v>3531</v>
      </c>
      <c r="G1058" s="910" t="s">
        <v>3532</v>
      </c>
      <c r="H1058" s="911" t="s">
        <v>3323</v>
      </c>
      <c r="I1058" s="911" t="s">
        <v>2863</v>
      </c>
      <c r="J1058" s="910" t="s">
        <v>3323</v>
      </c>
      <c r="K1058" s="909">
        <v>1</v>
      </c>
      <c r="L1058" s="909">
        <v>12</v>
      </c>
      <c r="M1058" s="907">
        <v>61260.800000000003</v>
      </c>
      <c r="N1058" s="908">
        <v>1</v>
      </c>
      <c r="O1058" s="908">
        <v>6</v>
      </c>
      <c r="P1058" s="907">
        <v>25044.9</v>
      </c>
      <c r="R1058" s="890"/>
    </row>
    <row r="1059" spans="1:18" s="276" customFormat="1" ht="24">
      <c r="A1059" s="908" t="s">
        <v>3199</v>
      </c>
      <c r="B1059" s="908" t="s">
        <v>1402</v>
      </c>
      <c r="C1059" s="908" t="s">
        <v>96</v>
      </c>
      <c r="D1059" s="910" t="s">
        <v>3520</v>
      </c>
      <c r="E1059" s="907">
        <v>2800</v>
      </c>
      <c r="F1059" s="908" t="s">
        <v>3533</v>
      </c>
      <c r="G1059" s="910" t="s">
        <v>3534</v>
      </c>
      <c r="H1059" s="911" t="s">
        <v>1478</v>
      </c>
      <c r="I1059" s="911" t="s">
        <v>2863</v>
      </c>
      <c r="J1059" s="910" t="s">
        <v>1478</v>
      </c>
      <c r="K1059" s="909">
        <v>1</v>
      </c>
      <c r="L1059" s="909">
        <v>12</v>
      </c>
      <c r="M1059" s="907">
        <v>35860.800000000003</v>
      </c>
      <c r="N1059" s="908">
        <v>1</v>
      </c>
      <c r="O1059" s="908">
        <v>6</v>
      </c>
      <c r="P1059" s="907">
        <v>17844.900000000001</v>
      </c>
      <c r="R1059" s="890"/>
    </row>
    <row r="1060" spans="1:18" s="276" customFormat="1" ht="24">
      <c r="A1060" s="908" t="s">
        <v>3199</v>
      </c>
      <c r="B1060" s="908" t="s">
        <v>1402</v>
      </c>
      <c r="C1060" s="908" t="s">
        <v>96</v>
      </c>
      <c r="D1060" s="910" t="s">
        <v>3520</v>
      </c>
      <c r="E1060" s="907">
        <v>5500</v>
      </c>
      <c r="F1060" s="908" t="s">
        <v>3535</v>
      </c>
      <c r="G1060" s="910" t="s">
        <v>3536</v>
      </c>
      <c r="H1060" s="911" t="s">
        <v>2743</v>
      </c>
      <c r="I1060" s="911" t="s">
        <v>2863</v>
      </c>
      <c r="J1060" s="910" t="s">
        <v>2743</v>
      </c>
      <c r="K1060" s="909">
        <v>1</v>
      </c>
      <c r="L1060" s="909">
        <v>12</v>
      </c>
      <c r="M1060" s="907">
        <v>52210.8</v>
      </c>
      <c r="N1060" s="908">
        <v>1</v>
      </c>
      <c r="O1060" s="908">
        <v>6</v>
      </c>
      <c r="P1060" s="907">
        <v>34044.9</v>
      </c>
      <c r="R1060" s="890"/>
    </row>
    <row r="1061" spans="1:18" s="276" customFormat="1" ht="24">
      <c r="A1061" s="908" t="s">
        <v>3199</v>
      </c>
      <c r="B1061" s="908" t="s">
        <v>1402</v>
      </c>
      <c r="C1061" s="908" t="s">
        <v>96</v>
      </c>
      <c r="D1061" s="910" t="s">
        <v>3520</v>
      </c>
      <c r="E1061" s="907">
        <v>6000</v>
      </c>
      <c r="F1061" s="908" t="s">
        <v>3537</v>
      </c>
      <c r="G1061" s="910" t="s">
        <v>3538</v>
      </c>
      <c r="H1061" s="911" t="s">
        <v>2743</v>
      </c>
      <c r="I1061" s="911" t="s">
        <v>2863</v>
      </c>
      <c r="J1061" s="910" t="s">
        <v>2743</v>
      </c>
      <c r="K1061" s="909">
        <v>1</v>
      </c>
      <c r="L1061" s="909">
        <v>12</v>
      </c>
      <c r="M1061" s="907">
        <v>74260.800000000003</v>
      </c>
      <c r="N1061" s="908">
        <v>1</v>
      </c>
      <c r="O1061" s="908">
        <v>6</v>
      </c>
      <c r="P1061" s="907">
        <v>37044.9</v>
      </c>
      <c r="R1061" s="890"/>
    </row>
    <row r="1062" spans="1:18" s="276" customFormat="1" ht="24">
      <c r="A1062" s="908" t="s">
        <v>3199</v>
      </c>
      <c r="B1062" s="908" t="s">
        <v>1402</v>
      </c>
      <c r="C1062" s="908" t="s">
        <v>96</v>
      </c>
      <c r="D1062" s="910" t="s">
        <v>3520</v>
      </c>
      <c r="E1062" s="907">
        <v>3500</v>
      </c>
      <c r="F1062" s="908" t="s">
        <v>3539</v>
      </c>
      <c r="G1062" s="910" t="s">
        <v>3540</v>
      </c>
      <c r="H1062" s="911" t="s">
        <v>3323</v>
      </c>
      <c r="I1062" s="911" t="s">
        <v>2863</v>
      </c>
      <c r="J1062" s="910" t="s">
        <v>3323</v>
      </c>
      <c r="K1062" s="909">
        <v>1</v>
      </c>
      <c r="L1062" s="909">
        <v>12</v>
      </c>
      <c r="M1062" s="907">
        <v>44760.800000000003</v>
      </c>
      <c r="N1062" s="908">
        <v>1</v>
      </c>
      <c r="O1062" s="908">
        <v>6</v>
      </c>
      <c r="P1062" s="907">
        <v>22044.9</v>
      </c>
      <c r="R1062" s="890"/>
    </row>
    <row r="1063" spans="1:18" s="276" customFormat="1" ht="24">
      <c r="A1063" s="908" t="s">
        <v>3199</v>
      </c>
      <c r="B1063" s="908" t="s">
        <v>1402</v>
      </c>
      <c r="C1063" s="908" t="s">
        <v>96</v>
      </c>
      <c r="D1063" s="910" t="s">
        <v>3520</v>
      </c>
      <c r="E1063" s="907">
        <v>5000</v>
      </c>
      <c r="F1063" s="908" t="s">
        <v>3541</v>
      </c>
      <c r="G1063" s="910" t="s">
        <v>3542</v>
      </c>
      <c r="H1063" s="911" t="s">
        <v>3323</v>
      </c>
      <c r="I1063" s="911" t="s">
        <v>2863</v>
      </c>
      <c r="J1063" s="910" t="s">
        <v>3323</v>
      </c>
      <c r="K1063" s="909">
        <v>1</v>
      </c>
      <c r="L1063" s="909">
        <v>12</v>
      </c>
      <c r="M1063" s="907">
        <v>65760.800000000003</v>
      </c>
      <c r="N1063" s="908">
        <v>1</v>
      </c>
      <c r="O1063" s="908">
        <v>6</v>
      </c>
      <c r="P1063" s="907">
        <v>31044.9</v>
      </c>
      <c r="R1063" s="890"/>
    </row>
    <row r="1064" spans="1:18" s="276" customFormat="1" ht="24">
      <c r="A1064" s="908" t="s">
        <v>3199</v>
      </c>
      <c r="B1064" s="908" t="s">
        <v>1402</v>
      </c>
      <c r="C1064" s="908" t="s">
        <v>96</v>
      </c>
      <c r="D1064" s="910" t="s">
        <v>3520</v>
      </c>
      <c r="E1064" s="907">
        <v>5200</v>
      </c>
      <c r="F1064" s="908" t="s">
        <v>3543</v>
      </c>
      <c r="G1064" s="910" t="s">
        <v>3544</v>
      </c>
      <c r="H1064" s="911" t="s">
        <v>3323</v>
      </c>
      <c r="I1064" s="911" t="s">
        <v>2863</v>
      </c>
      <c r="J1064" s="910" t="s">
        <v>3323</v>
      </c>
      <c r="K1064" s="909">
        <v>1</v>
      </c>
      <c r="L1064" s="909">
        <v>12</v>
      </c>
      <c r="M1064" s="907">
        <v>64660.800000000003</v>
      </c>
      <c r="N1064" s="908">
        <v>1</v>
      </c>
      <c r="O1064" s="908">
        <v>6</v>
      </c>
      <c r="P1064" s="907">
        <v>32244.9</v>
      </c>
      <c r="R1064" s="890"/>
    </row>
    <row r="1065" spans="1:18" s="276" customFormat="1" ht="24">
      <c r="A1065" s="908" t="s">
        <v>3199</v>
      </c>
      <c r="B1065" s="908" t="s">
        <v>1402</v>
      </c>
      <c r="C1065" s="908" t="s">
        <v>96</v>
      </c>
      <c r="D1065" s="910" t="s">
        <v>3520</v>
      </c>
      <c r="E1065" s="907">
        <v>5500</v>
      </c>
      <c r="F1065" s="908" t="s">
        <v>3545</v>
      </c>
      <c r="G1065" s="910" t="s">
        <v>3546</v>
      </c>
      <c r="H1065" s="911" t="s">
        <v>3323</v>
      </c>
      <c r="I1065" s="911" t="s">
        <v>2863</v>
      </c>
      <c r="J1065" s="910" t="s">
        <v>3323</v>
      </c>
      <c r="K1065" s="909">
        <v>1</v>
      </c>
      <c r="L1065" s="909">
        <v>12</v>
      </c>
      <c r="M1065" s="907">
        <v>68257.47</v>
      </c>
      <c r="N1065" s="908">
        <v>1</v>
      </c>
      <c r="O1065" s="908">
        <v>6</v>
      </c>
      <c r="P1065" s="907">
        <v>34044.9</v>
      </c>
      <c r="R1065" s="890"/>
    </row>
    <row r="1066" spans="1:18" s="276" customFormat="1" ht="24">
      <c r="A1066" s="908" t="s">
        <v>3199</v>
      </c>
      <c r="B1066" s="908" t="s">
        <v>1402</v>
      </c>
      <c r="C1066" s="908" t="s">
        <v>96</v>
      </c>
      <c r="D1066" s="910" t="s">
        <v>3520</v>
      </c>
      <c r="E1066" s="907">
        <v>8000</v>
      </c>
      <c r="F1066" s="908" t="s">
        <v>3547</v>
      </c>
      <c r="G1066" s="910" t="s">
        <v>3548</v>
      </c>
      <c r="H1066" s="911" t="s">
        <v>2743</v>
      </c>
      <c r="I1066" s="911" t="s">
        <v>2863</v>
      </c>
      <c r="J1066" s="910" t="s">
        <v>2743</v>
      </c>
      <c r="K1066" s="909">
        <v>1</v>
      </c>
      <c r="L1066" s="909">
        <v>12</v>
      </c>
      <c r="M1066" s="907">
        <v>110260.8</v>
      </c>
      <c r="N1066" s="908">
        <v>1</v>
      </c>
      <c r="O1066" s="908">
        <v>6</v>
      </c>
      <c r="P1066" s="907">
        <v>49044.9</v>
      </c>
      <c r="R1066" s="890"/>
    </row>
    <row r="1067" spans="1:18" s="276" customFormat="1" ht="24">
      <c r="A1067" s="908" t="s">
        <v>3199</v>
      </c>
      <c r="B1067" s="908" t="s">
        <v>1402</v>
      </c>
      <c r="C1067" s="908" t="s">
        <v>96</v>
      </c>
      <c r="D1067" s="910" t="s">
        <v>3520</v>
      </c>
      <c r="E1067" s="907">
        <v>5500</v>
      </c>
      <c r="F1067" s="908" t="s">
        <v>3549</v>
      </c>
      <c r="G1067" s="910" t="s">
        <v>3550</v>
      </c>
      <c r="H1067" s="911" t="s">
        <v>2743</v>
      </c>
      <c r="I1067" s="911" t="s">
        <v>1420</v>
      </c>
      <c r="J1067" s="910" t="s">
        <v>2743</v>
      </c>
      <c r="K1067" s="909">
        <v>1</v>
      </c>
      <c r="L1067" s="909">
        <v>12</v>
      </c>
      <c r="M1067" s="907">
        <v>56427.47</v>
      </c>
      <c r="N1067" s="908">
        <v>1</v>
      </c>
      <c r="O1067" s="908">
        <v>6</v>
      </c>
      <c r="P1067" s="907">
        <v>34044.9</v>
      </c>
      <c r="R1067" s="890"/>
    </row>
    <row r="1068" spans="1:18" s="276" customFormat="1" ht="24">
      <c r="A1068" s="908" t="s">
        <v>3199</v>
      </c>
      <c r="B1068" s="908" t="s">
        <v>1402</v>
      </c>
      <c r="C1068" s="908" t="s">
        <v>96</v>
      </c>
      <c r="D1068" s="910" t="s">
        <v>3520</v>
      </c>
      <c r="E1068" s="907">
        <v>4000</v>
      </c>
      <c r="F1068" s="908" t="s">
        <v>3551</v>
      </c>
      <c r="G1068" s="910" t="s">
        <v>3552</v>
      </c>
      <c r="H1068" s="911" t="s">
        <v>3323</v>
      </c>
      <c r="I1068" s="911" t="s">
        <v>2863</v>
      </c>
      <c r="J1068" s="910" t="s">
        <v>3323</v>
      </c>
      <c r="K1068" s="909">
        <v>1</v>
      </c>
      <c r="L1068" s="909">
        <v>12</v>
      </c>
      <c r="M1068" s="907">
        <v>49557.47</v>
      </c>
      <c r="N1068" s="908">
        <v>1</v>
      </c>
      <c r="O1068" s="908">
        <v>6</v>
      </c>
      <c r="P1068" s="907">
        <v>25044.9</v>
      </c>
      <c r="R1068" s="890"/>
    </row>
    <row r="1069" spans="1:18" s="276" customFormat="1" ht="24">
      <c r="A1069" s="908" t="s">
        <v>3199</v>
      </c>
      <c r="B1069" s="908" t="s">
        <v>1402</v>
      </c>
      <c r="C1069" s="908" t="s">
        <v>96</v>
      </c>
      <c r="D1069" s="910" t="s">
        <v>3520</v>
      </c>
      <c r="E1069" s="907">
        <v>6000</v>
      </c>
      <c r="F1069" s="908" t="s">
        <v>3553</v>
      </c>
      <c r="G1069" s="910" t="s">
        <v>3554</v>
      </c>
      <c r="H1069" s="911" t="s">
        <v>3323</v>
      </c>
      <c r="I1069" s="911" t="s">
        <v>2863</v>
      </c>
      <c r="J1069" s="910" t="s">
        <v>3323</v>
      </c>
      <c r="K1069" s="909">
        <v>1</v>
      </c>
      <c r="L1069" s="909">
        <v>12</v>
      </c>
      <c r="M1069" s="907">
        <v>63660.800000000003</v>
      </c>
      <c r="N1069" s="908">
        <v>1</v>
      </c>
      <c r="O1069" s="908">
        <v>6</v>
      </c>
      <c r="P1069" s="907">
        <v>37044.9</v>
      </c>
      <c r="R1069" s="890"/>
    </row>
    <row r="1070" spans="1:18" s="276" customFormat="1" ht="24">
      <c r="A1070" s="908" t="s">
        <v>3199</v>
      </c>
      <c r="B1070" s="908" t="s">
        <v>1402</v>
      </c>
      <c r="C1070" s="908" t="s">
        <v>96</v>
      </c>
      <c r="D1070" s="910" t="s">
        <v>3520</v>
      </c>
      <c r="E1070" s="907">
        <v>8000</v>
      </c>
      <c r="F1070" s="908" t="s">
        <v>3555</v>
      </c>
      <c r="G1070" s="910" t="s">
        <v>3556</v>
      </c>
      <c r="H1070" s="911" t="s">
        <v>2743</v>
      </c>
      <c r="I1070" s="911" t="s">
        <v>2863</v>
      </c>
      <c r="J1070" s="910" t="s">
        <v>2743</v>
      </c>
      <c r="K1070" s="909">
        <v>1</v>
      </c>
      <c r="L1070" s="909">
        <v>12</v>
      </c>
      <c r="M1070" s="907">
        <v>97260.800000000003</v>
      </c>
      <c r="N1070" s="908">
        <v>1</v>
      </c>
      <c r="O1070" s="908">
        <v>6</v>
      </c>
      <c r="P1070" s="907">
        <v>49044.9</v>
      </c>
      <c r="R1070" s="890"/>
    </row>
    <row r="1071" spans="1:18" s="276" customFormat="1" ht="24">
      <c r="A1071" s="908" t="s">
        <v>3199</v>
      </c>
      <c r="B1071" s="908" t="s">
        <v>1402</v>
      </c>
      <c r="C1071" s="908" t="s">
        <v>96</v>
      </c>
      <c r="D1071" s="910" t="s">
        <v>3520</v>
      </c>
      <c r="E1071" s="907">
        <v>5000</v>
      </c>
      <c r="F1071" s="908" t="s">
        <v>3557</v>
      </c>
      <c r="G1071" s="910" t="s">
        <v>3558</v>
      </c>
      <c r="H1071" s="911" t="s">
        <v>3323</v>
      </c>
      <c r="I1071" s="911" t="s">
        <v>2863</v>
      </c>
      <c r="J1071" s="910" t="s">
        <v>3323</v>
      </c>
      <c r="K1071" s="909">
        <v>1</v>
      </c>
      <c r="L1071" s="909">
        <v>12</v>
      </c>
      <c r="M1071" s="907">
        <v>64260.800000000003</v>
      </c>
      <c r="N1071" s="908">
        <v>1</v>
      </c>
      <c r="O1071" s="908">
        <v>6</v>
      </c>
      <c r="P1071" s="907">
        <v>31044.9</v>
      </c>
      <c r="R1071" s="890"/>
    </row>
    <row r="1072" spans="1:18" s="276" customFormat="1" ht="24">
      <c r="A1072" s="908" t="s">
        <v>3199</v>
      </c>
      <c r="B1072" s="908" t="s">
        <v>1402</v>
      </c>
      <c r="C1072" s="908" t="s">
        <v>96</v>
      </c>
      <c r="D1072" s="910" t="s">
        <v>3520</v>
      </c>
      <c r="E1072" s="907">
        <v>7800</v>
      </c>
      <c r="F1072" s="908" t="s">
        <v>3559</v>
      </c>
      <c r="G1072" s="910" t="s">
        <v>3560</v>
      </c>
      <c r="H1072" s="911" t="s">
        <v>3323</v>
      </c>
      <c r="I1072" s="911" t="s">
        <v>2863</v>
      </c>
      <c r="J1072" s="910" t="s">
        <v>3323</v>
      </c>
      <c r="K1072" s="909">
        <v>1</v>
      </c>
      <c r="L1072" s="909">
        <v>11</v>
      </c>
      <c r="M1072" s="907">
        <v>89207.4</v>
      </c>
      <c r="N1072" s="908">
        <v>1</v>
      </c>
      <c r="O1072" s="908">
        <v>6</v>
      </c>
      <c r="P1072" s="907">
        <v>47844.9</v>
      </c>
      <c r="R1072" s="890"/>
    </row>
    <row r="1073" spans="1:18" s="276" customFormat="1" ht="24">
      <c r="A1073" s="908" t="s">
        <v>3199</v>
      </c>
      <c r="B1073" s="908" t="s">
        <v>1402</v>
      </c>
      <c r="C1073" s="908" t="s">
        <v>96</v>
      </c>
      <c r="D1073" s="910" t="s">
        <v>3520</v>
      </c>
      <c r="E1073" s="907">
        <v>4500</v>
      </c>
      <c r="F1073" s="908" t="s">
        <v>3561</v>
      </c>
      <c r="G1073" s="910" t="s">
        <v>3562</v>
      </c>
      <c r="H1073" s="911" t="s">
        <v>2743</v>
      </c>
      <c r="I1073" s="911" t="s">
        <v>1420</v>
      </c>
      <c r="J1073" s="910" t="s">
        <v>2743</v>
      </c>
      <c r="K1073" s="909">
        <v>1</v>
      </c>
      <c r="L1073" s="909">
        <v>12</v>
      </c>
      <c r="M1073" s="907">
        <v>56760.800000000003</v>
      </c>
      <c r="N1073" s="908">
        <v>1</v>
      </c>
      <c r="O1073" s="908">
        <v>6</v>
      </c>
      <c r="P1073" s="907">
        <v>28044.9</v>
      </c>
      <c r="R1073" s="890"/>
    </row>
    <row r="1074" spans="1:18" s="276" customFormat="1" ht="24">
      <c r="A1074" s="908" t="s">
        <v>3199</v>
      </c>
      <c r="B1074" s="908" t="s">
        <v>1402</v>
      </c>
      <c r="C1074" s="908" t="s">
        <v>96</v>
      </c>
      <c r="D1074" s="910" t="s">
        <v>3520</v>
      </c>
      <c r="E1074" s="907">
        <v>8000</v>
      </c>
      <c r="F1074" s="908" t="s">
        <v>3563</v>
      </c>
      <c r="G1074" s="910" t="s">
        <v>3564</v>
      </c>
      <c r="H1074" s="911" t="s">
        <v>2743</v>
      </c>
      <c r="I1074" s="911" t="s">
        <v>2863</v>
      </c>
      <c r="J1074" s="910" t="s">
        <v>2743</v>
      </c>
      <c r="K1074" s="909"/>
      <c r="L1074" s="909"/>
      <c r="M1074" s="907"/>
      <c r="N1074" s="908">
        <v>1</v>
      </c>
      <c r="O1074" s="908">
        <v>6</v>
      </c>
      <c r="P1074" s="907">
        <v>45044.9</v>
      </c>
      <c r="R1074" s="890"/>
    </row>
    <row r="1075" spans="1:18" s="276" customFormat="1" ht="24">
      <c r="A1075" s="908" t="s">
        <v>3199</v>
      </c>
      <c r="B1075" s="908" t="s">
        <v>1402</v>
      </c>
      <c r="C1075" s="908" t="s">
        <v>96</v>
      </c>
      <c r="D1075" s="910" t="s">
        <v>3520</v>
      </c>
      <c r="E1075" s="907">
        <v>4000</v>
      </c>
      <c r="F1075" s="908" t="s">
        <v>3565</v>
      </c>
      <c r="G1075" s="910" t="s">
        <v>3566</v>
      </c>
      <c r="H1075" s="911" t="s">
        <v>3323</v>
      </c>
      <c r="I1075" s="911" t="s">
        <v>2863</v>
      </c>
      <c r="J1075" s="910" t="s">
        <v>3323</v>
      </c>
      <c r="K1075" s="909">
        <v>1</v>
      </c>
      <c r="L1075" s="909">
        <v>12</v>
      </c>
      <c r="M1075" s="907">
        <v>50260.800000000003</v>
      </c>
      <c r="N1075" s="908">
        <v>1</v>
      </c>
      <c r="O1075" s="908">
        <v>6</v>
      </c>
      <c r="P1075" s="907">
        <v>25044.9</v>
      </c>
      <c r="R1075" s="890"/>
    </row>
    <row r="1076" spans="1:18" s="276" customFormat="1" ht="24">
      <c r="A1076" s="908" t="s">
        <v>3199</v>
      </c>
      <c r="B1076" s="908" t="s">
        <v>1402</v>
      </c>
      <c r="C1076" s="908" t="s">
        <v>96</v>
      </c>
      <c r="D1076" s="910" t="s">
        <v>3520</v>
      </c>
      <c r="E1076" s="907">
        <v>3300</v>
      </c>
      <c r="F1076" s="908" t="s">
        <v>3567</v>
      </c>
      <c r="G1076" s="910" t="s">
        <v>3568</v>
      </c>
      <c r="H1076" s="911" t="s">
        <v>3323</v>
      </c>
      <c r="I1076" s="911" t="s">
        <v>2863</v>
      </c>
      <c r="J1076" s="910" t="s">
        <v>3323</v>
      </c>
      <c r="K1076" s="909">
        <v>1</v>
      </c>
      <c r="L1076" s="909">
        <v>12</v>
      </c>
      <c r="M1076" s="907">
        <v>40490.800000000003</v>
      </c>
      <c r="N1076" s="908"/>
      <c r="O1076" s="908"/>
      <c r="P1076" s="907"/>
      <c r="R1076" s="890"/>
    </row>
    <row r="1077" spans="1:18" s="276" customFormat="1" ht="24">
      <c r="A1077" s="908" t="s">
        <v>3199</v>
      </c>
      <c r="B1077" s="908" t="s">
        <v>1402</v>
      </c>
      <c r="C1077" s="908" t="s">
        <v>96</v>
      </c>
      <c r="D1077" s="910" t="s">
        <v>3520</v>
      </c>
      <c r="E1077" s="907">
        <v>5500</v>
      </c>
      <c r="F1077" s="908" t="s">
        <v>3569</v>
      </c>
      <c r="G1077" s="910" t="s">
        <v>3570</v>
      </c>
      <c r="H1077" s="911" t="s">
        <v>3323</v>
      </c>
      <c r="I1077" s="911" t="s">
        <v>2863</v>
      </c>
      <c r="J1077" s="910" t="s">
        <v>3323</v>
      </c>
      <c r="K1077" s="909">
        <v>1</v>
      </c>
      <c r="L1077" s="909">
        <v>12</v>
      </c>
      <c r="M1077" s="907">
        <v>75723.13</v>
      </c>
      <c r="N1077" s="908">
        <v>1</v>
      </c>
      <c r="O1077" s="908">
        <v>6</v>
      </c>
      <c r="P1077" s="907">
        <v>34044.9</v>
      </c>
      <c r="R1077" s="890"/>
    </row>
    <row r="1078" spans="1:18" s="276" customFormat="1" ht="24">
      <c r="A1078" s="908" t="s">
        <v>3199</v>
      </c>
      <c r="B1078" s="908" t="s">
        <v>1402</v>
      </c>
      <c r="C1078" s="908" t="s">
        <v>96</v>
      </c>
      <c r="D1078" s="910" t="s">
        <v>3520</v>
      </c>
      <c r="E1078" s="907">
        <v>5000</v>
      </c>
      <c r="F1078" s="908" t="s">
        <v>3571</v>
      </c>
      <c r="G1078" s="910" t="s">
        <v>3572</v>
      </c>
      <c r="H1078" s="911" t="s">
        <v>3323</v>
      </c>
      <c r="I1078" s="911" t="s">
        <v>2863</v>
      </c>
      <c r="J1078" s="910" t="s">
        <v>3323</v>
      </c>
      <c r="K1078" s="909">
        <v>1</v>
      </c>
      <c r="L1078" s="909">
        <v>12</v>
      </c>
      <c r="M1078" s="907">
        <v>62260.800000000003</v>
      </c>
      <c r="N1078" s="908">
        <v>1</v>
      </c>
      <c r="O1078" s="908">
        <v>6</v>
      </c>
      <c r="P1078" s="907">
        <v>31044.9</v>
      </c>
      <c r="R1078" s="890"/>
    </row>
    <row r="1079" spans="1:18" s="276" customFormat="1" ht="24">
      <c r="A1079" s="908" t="s">
        <v>3199</v>
      </c>
      <c r="B1079" s="908" t="s">
        <v>1402</v>
      </c>
      <c r="C1079" s="908" t="s">
        <v>96</v>
      </c>
      <c r="D1079" s="910" t="s">
        <v>3520</v>
      </c>
      <c r="E1079" s="907">
        <v>7500</v>
      </c>
      <c r="F1079" s="908" t="s">
        <v>3573</v>
      </c>
      <c r="G1079" s="910" t="s">
        <v>3574</v>
      </c>
      <c r="H1079" s="911" t="s">
        <v>3323</v>
      </c>
      <c r="I1079" s="911" t="s">
        <v>2863</v>
      </c>
      <c r="J1079" s="910" t="s">
        <v>3323</v>
      </c>
      <c r="K1079" s="909">
        <v>1</v>
      </c>
      <c r="L1079" s="909">
        <v>12</v>
      </c>
      <c r="M1079" s="907">
        <v>92260.800000000003</v>
      </c>
      <c r="N1079" s="908">
        <v>1</v>
      </c>
      <c r="O1079" s="908">
        <v>6</v>
      </c>
      <c r="P1079" s="907">
        <v>46044.9</v>
      </c>
      <c r="R1079" s="890"/>
    </row>
    <row r="1080" spans="1:18" s="276" customFormat="1" ht="24">
      <c r="A1080" s="908" t="s">
        <v>3199</v>
      </c>
      <c r="B1080" s="908" t="s">
        <v>1402</v>
      </c>
      <c r="C1080" s="908" t="s">
        <v>96</v>
      </c>
      <c r="D1080" s="910" t="s">
        <v>3520</v>
      </c>
      <c r="E1080" s="907">
        <v>7500</v>
      </c>
      <c r="F1080" s="908" t="s">
        <v>3575</v>
      </c>
      <c r="G1080" s="910" t="s">
        <v>3576</v>
      </c>
      <c r="H1080" s="911" t="s">
        <v>3323</v>
      </c>
      <c r="I1080" s="911" t="s">
        <v>2863</v>
      </c>
      <c r="J1080" s="910" t="s">
        <v>3323</v>
      </c>
      <c r="K1080" s="909">
        <v>1</v>
      </c>
      <c r="L1080" s="909">
        <v>9</v>
      </c>
      <c r="M1080" s="907">
        <v>64120.6</v>
      </c>
      <c r="N1080" s="908"/>
      <c r="O1080" s="908"/>
      <c r="P1080" s="907"/>
      <c r="R1080" s="890"/>
    </row>
    <row r="1081" spans="1:18" s="276" customFormat="1" ht="15.95" customHeight="1">
      <c r="A1081" s="908" t="s">
        <v>3199</v>
      </c>
      <c r="B1081" s="908" t="s">
        <v>1402</v>
      </c>
      <c r="C1081" s="908" t="s">
        <v>96</v>
      </c>
      <c r="D1081" s="910" t="s">
        <v>3577</v>
      </c>
      <c r="E1081" s="907">
        <v>7000</v>
      </c>
      <c r="F1081" s="908" t="s">
        <v>3578</v>
      </c>
      <c r="G1081" s="910" t="s">
        <v>3579</v>
      </c>
      <c r="H1081" s="911" t="s">
        <v>2750</v>
      </c>
      <c r="I1081" s="911" t="s">
        <v>2863</v>
      </c>
      <c r="J1081" s="910" t="s">
        <v>2750</v>
      </c>
      <c r="K1081" s="909">
        <v>1</v>
      </c>
      <c r="L1081" s="909">
        <v>12</v>
      </c>
      <c r="M1081" s="907">
        <v>82260.800000000003</v>
      </c>
      <c r="N1081" s="908">
        <v>1</v>
      </c>
      <c r="O1081" s="908">
        <v>6</v>
      </c>
      <c r="P1081" s="907">
        <v>43044.9</v>
      </c>
      <c r="R1081" s="890"/>
    </row>
    <row r="1082" spans="1:18" s="276" customFormat="1" ht="15.95" customHeight="1">
      <c r="A1082" s="908" t="s">
        <v>3199</v>
      </c>
      <c r="B1082" s="908" t="s">
        <v>1402</v>
      </c>
      <c r="C1082" s="908" t="s">
        <v>96</v>
      </c>
      <c r="D1082" s="910" t="s">
        <v>3577</v>
      </c>
      <c r="E1082" s="907">
        <v>7000</v>
      </c>
      <c r="F1082" s="908" t="s">
        <v>3580</v>
      </c>
      <c r="G1082" s="910" t="s">
        <v>3581</v>
      </c>
      <c r="H1082" s="911" t="s">
        <v>3226</v>
      </c>
      <c r="I1082" s="911" t="s">
        <v>2863</v>
      </c>
      <c r="J1082" s="910" t="s">
        <v>2750</v>
      </c>
      <c r="K1082" s="909">
        <v>1</v>
      </c>
      <c r="L1082" s="909">
        <v>5</v>
      </c>
      <c r="M1082" s="907">
        <v>36100.339999999997</v>
      </c>
      <c r="N1082" s="908">
        <v>1</v>
      </c>
      <c r="O1082" s="908">
        <v>6</v>
      </c>
      <c r="P1082" s="907">
        <v>43044.9</v>
      </c>
      <c r="R1082" s="890"/>
    </row>
    <row r="1083" spans="1:18" s="276" customFormat="1" ht="15.95" customHeight="1">
      <c r="A1083" s="908" t="s">
        <v>3199</v>
      </c>
      <c r="B1083" s="908" t="s">
        <v>1402</v>
      </c>
      <c r="C1083" s="908" t="s">
        <v>96</v>
      </c>
      <c r="D1083" s="910" t="s">
        <v>3577</v>
      </c>
      <c r="E1083" s="907">
        <v>7000</v>
      </c>
      <c r="F1083" s="908" t="s">
        <v>3582</v>
      </c>
      <c r="G1083" s="910" t="s">
        <v>3583</v>
      </c>
      <c r="H1083" s="911" t="s">
        <v>3226</v>
      </c>
      <c r="I1083" s="911" t="s">
        <v>2863</v>
      </c>
      <c r="J1083" s="910" t="s">
        <v>2750</v>
      </c>
      <c r="K1083" s="909"/>
      <c r="L1083" s="909"/>
      <c r="M1083" s="907"/>
      <c r="N1083" s="908">
        <v>1</v>
      </c>
      <c r="O1083" s="908">
        <v>6</v>
      </c>
      <c r="P1083" s="907">
        <v>39544.9</v>
      </c>
      <c r="R1083" s="890"/>
    </row>
    <row r="1084" spans="1:18" s="276" customFormat="1" ht="15.95" customHeight="1">
      <c r="A1084" s="908" t="s">
        <v>3199</v>
      </c>
      <c r="B1084" s="908" t="s">
        <v>1402</v>
      </c>
      <c r="C1084" s="908" t="s">
        <v>96</v>
      </c>
      <c r="D1084" s="910" t="s">
        <v>3577</v>
      </c>
      <c r="E1084" s="907">
        <v>7000</v>
      </c>
      <c r="F1084" s="908" t="s">
        <v>3584</v>
      </c>
      <c r="G1084" s="910" t="s">
        <v>3585</v>
      </c>
      <c r="H1084" s="911" t="s">
        <v>3226</v>
      </c>
      <c r="I1084" s="911" t="s">
        <v>2863</v>
      </c>
      <c r="J1084" s="910" t="s">
        <v>2750</v>
      </c>
      <c r="K1084" s="909">
        <v>1</v>
      </c>
      <c r="L1084" s="909">
        <v>12</v>
      </c>
      <c r="M1084" s="907">
        <v>84257.47</v>
      </c>
      <c r="N1084" s="908">
        <v>1</v>
      </c>
      <c r="O1084" s="908">
        <v>6</v>
      </c>
      <c r="P1084" s="907">
        <v>43044.9</v>
      </c>
      <c r="R1084" s="890"/>
    </row>
    <row r="1085" spans="1:18" s="276" customFormat="1" ht="15.95" customHeight="1">
      <c r="A1085" s="908" t="s">
        <v>3199</v>
      </c>
      <c r="B1085" s="908" t="s">
        <v>1402</v>
      </c>
      <c r="C1085" s="908" t="s">
        <v>96</v>
      </c>
      <c r="D1085" s="910" t="s">
        <v>3577</v>
      </c>
      <c r="E1085" s="907">
        <v>7000</v>
      </c>
      <c r="F1085" s="908" t="s">
        <v>3586</v>
      </c>
      <c r="G1085" s="910" t="s">
        <v>3587</v>
      </c>
      <c r="H1085" s="911" t="s">
        <v>3226</v>
      </c>
      <c r="I1085" s="911" t="s">
        <v>2863</v>
      </c>
      <c r="J1085" s="910" t="s">
        <v>2750</v>
      </c>
      <c r="K1085" s="909">
        <v>1</v>
      </c>
      <c r="L1085" s="909">
        <v>12</v>
      </c>
      <c r="M1085" s="907">
        <v>83874.210000000006</v>
      </c>
      <c r="N1085" s="908">
        <v>1</v>
      </c>
      <c r="O1085" s="908">
        <v>6</v>
      </c>
      <c r="P1085" s="907">
        <v>43044.9</v>
      </c>
      <c r="R1085" s="890"/>
    </row>
    <row r="1086" spans="1:18" s="276" customFormat="1" ht="15.95" customHeight="1">
      <c r="A1086" s="908" t="s">
        <v>3199</v>
      </c>
      <c r="B1086" s="908" t="s">
        <v>1402</v>
      </c>
      <c r="C1086" s="908" t="s">
        <v>96</v>
      </c>
      <c r="D1086" s="910" t="s">
        <v>3588</v>
      </c>
      <c r="E1086" s="907">
        <v>8500</v>
      </c>
      <c r="F1086" s="908" t="s">
        <v>3589</v>
      </c>
      <c r="G1086" s="910" t="s">
        <v>3590</v>
      </c>
      <c r="H1086" s="911" t="s">
        <v>2743</v>
      </c>
      <c r="I1086" s="911" t="s">
        <v>2863</v>
      </c>
      <c r="J1086" s="910" t="s">
        <v>2743</v>
      </c>
      <c r="K1086" s="909">
        <v>1</v>
      </c>
      <c r="L1086" s="909">
        <v>12</v>
      </c>
      <c r="M1086" s="907">
        <v>89964.13</v>
      </c>
      <c r="N1086" s="908">
        <v>1</v>
      </c>
      <c r="O1086" s="908">
        <v>6</v>
      </c>
      <c r="P1086" s="907">
        <v>52044.9</v>
      </c>
      <c r="R1086" s="890"/>
    </row>
    <row r="1087" spans="1:18" s="276" customFormat="1" ht="15.95" customHeight="1">
      <c r="A1087" s="908" t="s">
        <v>3199</v>
      </c>
      <c r="B1087" s="908" t="s">
        <v>1402</v>
      </c>
      <c r="C1087" s="908" t="s">
        <v>96</v>
      </c>
      <c r="D1087" s="910" t="s">
        <v>3588</v>
      </c>
      <c r="E1087" s="907">
        <v>6200</v>
      </c>
      <c r="F1087" s="908" t="s">
        <v>3591</v>
      </c>
      <c r="G1087" s="910" t="s">
        <v>3592</v>
      </c>
      <c r="H1087" s="911" t="s">
        <v>2883</v>
      </c>
      <c r="I1087" s="911" t="s">
        <v>2863</v>
      </c>
      <c r="J1087" s="910" t="s">
        <v>2883</v>
      </c>
      <c r="K1087" s="909">
        <v>1</v>
      </c>
      <c r="L1087" s="909">
        <v>12</v>
      </c>
      <c r="M1087" s="907">
        <v>72314.13</v>
      </c>
      <c r="N1087" s="908">
        <v>1</v>
      </c>
      <c r="O1087" s="908">
        <v>6</v>
      </c>
      <c r="P1087" s="907">
        <v>38244.9</v>
      </c>
      <c r="R1087" s="890"/>
    </row>
    <row r="1088" spans="1:18" s="276" customFormat="1" ht="15.95" customHeight="1">
      <c r="A1088" s="908" t="s">
        <v>3199</v>
      </c>
      <c r="B1088" s="908" t="s">
        <v>1402</v>
      </c>
      <c r="C1088" s="908" t="s">
        <v>96</v>
      </c>
      <c r="D1088" s="910" t="s">
        <v>3588</v>
      </c>
      <c r="E1088" s="907">
        <v>7000</v>
      </c>
      <c r="F1088" s="908" t="s">
        <v>3593</v>
      </c>
      <c r="G1088" s="910" t="s">
        <v>3594</v>
      </c>
      <c r="H1088" s="911" t="s">
        <v>2883</v>
      </c>
      <c r="I1088" s="911" t="s">
        <v>2863</v>
      </c>
      <c r="J1088" s="910" t="s">
        <v>2883</v>
      </c>
      <c r="K1088" s="909">
        <v>1</v>
      </c>
      <c r="L1088" s="909">
        <v>12</v>
      </c>
      <c r="M1088" s="907">
        <v>82260.800000000003</v>
      </c>
      <c r="N1088" s="908">
        <v>1</v>
      </c>
      <c r="O1088" s="908">
        <v>6</v>
      </c>
      <c r="P1088" s="907">
        <v>43044.9</v>
      </c>
      <c r="R1088" s="890"/>
    </row>
    <row r="1089" spans="1:18" s="276" customFormat="1" ht="15.95" customHeight="1">
      <c r="A1089" s="908" t="s">
        <v>3199</v>
      </c>
      <c r="B1089" s="908" t="s">
        <v>1402</v>
      </c>
      <c r="C1089" s="908" t="s">
        <v>96</v>
      </c>
      <c r="D1089" s="910" t="s">
        <v>3588</v>
      </c>
      <c r="E1089" s="907">
        <v>7000</v>
      </c>
      <c r="F1089" s="908" t="s">
        <v>3595</v>
      </c>
      <c r="G1089" s="910" t="s">
        <v>3596</v>
      </c>
      <c r="H1089" s="911" t="s">
        <v>2743</v>
      </c>
      <c r="I1089" s="911" t="s">
        <v>2863</v>
      </c>
      <c r="J1089" s="910" t="s">
        <v>2743</v>
      </c>
      <c r="K1089" s="909">
        <v>1</v>
      </c>
      <c r="L1089" s="909">
        <v>12</v>
      </c>
      <c r="M1089" s="907">
        <v>83801.8</v>
      </c>
      <c r="N1089" s="908">
        <v>1</v>
      </c>
      <c r="O1089" s="908">
        <v>6</v>
      </c>
      <c r="P1089" s="907">
        <v>43044.9</v>
      </c>
      <c r="R1089" s="890"/>
    </row>
    <row r="1090" spans="1:18" s="276" customFormat="1" ht="15.95" customHeight="1">
      <c r="A1090" s="908" t="s">
        <v>3199</v>
      </c>
      <c r="B1090" s="908" t="s">
        <v>1402</v>
      </c>
      <c r="C1090" s="908" t="s">
        <v>96</v>
      </c>
      <c r="D1090" s="910" t="s">
        <v>3588</v>
      </c>
      <c r="E1090" s="907">
        <v>7000</v>
      </c>
      <c r="F1090" s="908" t="s">
        <v>3597</v>
      </c>
      <c r="G1090" s="910" t="s">
        <v>3598</v>
      </c>
      <c r="H1090" s="911" t="s">
        <v>3599</v>
      </c>
      <c r="I1090" s="911" t="s">
        <v>2863</v>
      </c>
      <c r="J1090" s="910" t="s">
        <v>3599</v>
      </c>
      <c r="K1090" s="909">
        <v>1</v>
      </c>
      <c r="L1090" s="909">
        <v>12</v>
      </c>
      <c r="M1090" s="907">
        <v>73027.47</v>
      </c>
      <c r="N1090" s="908">
        <v>1</v>
      </c>
      <c r="O1090" s="908">
        <v>6</v>
      </c>
      <c r="P1090" s="907">
        <v>43044.9</v>
      </c>
      <c r="R1090" s="890"/>
    </row>
    <row r="1091" spans="1:18" s="276" customFormat="1" ht="15.95" customHeight="1">
      <c r="A1091" s="908" t="s">
        <v>3199</v>
      </c>
      <c r="B1091" s="908" t="s">
        <v>1402</v>
      </c>
      <c r="C1091" s="908" t="s">
        <v>96</v>
      </c>
      <c r="D1091" s="910" t="s">
        <v>3588</v>
      </c>
      <c r="E1091" s="907">
        <v>4000</v>
      </c>
      <c r="F1091" s="908" t="s">
        <v>3600</v>
      </c>
      <c r="G1091" s="910" t="s">
        <v>3601</v>
      </c>
      <c r="H1091" s="911" t="s">
        <v>2883</v>
      </c>
      <c r="I1091" s="911" t="s">
        <v>2863</v>
      </c>
      <c r="J1091" s="910" t="s">
        <v>2883</v>
      </c>
      <c r="K1091" s="909">
        <v>1</v>
      </c>
      <c r="L1091" s="909">
        <v>12</v>
      </c>
      <c r="M1091" s="907">
        <v>50260.800000000003</v>
      </c>
      <c r="N1091" s="908">
        <v>1</v>
      </c>
      <c r="O1091" s="908">
        <v>6</v>
      </c>
      <c r="P1091" s="907">
        <v>25044.9</v>
      </c>
      <c r="R1091" s="890"/>
    </row>
    <row r="1092" spans="1:18" s="276" customFormat="1" ht="15.95" customHeight="1">
      <c r="A1092" s="908" t="s">
        <v>3199</v>
      </c>
      <c r="B1092" s="908" t="s">
        <v>1402</v>
      </c>
      <c r="C1092" s="908" t="s">
        <v>96</v>
      </c>
      <c r="D1092" s="910" t="s">
        <v>3588</v>
      </c>
      <c r="E1092" s="907">
        <v>7000</v>
      </c>
      <c r="F1092" s="908" t="s">
        <v>3602</v>
      </c>
      <c r="G1092" s="910" t="s">
        <v>3603</v>
      </c>
      <c r="H1092" s="911" t="s">
        <v>3599</v>
      </c>
      <c r="I1092" s="911" t="s">
        <v>2863</v>
      </c>
      <c r="J1092" s="910" t="s">
        <v>3599</v>
      </c>
      <c r="K1092" s="909">
        <v>1</v>
      </c>
      <c r="L1092" s="909">
        <v>12</v>
      </c>
      <c r="M1092" s="907">
        <v>86260.800000000003</v>
      </c>
      <c r="N1092" s="908">
        <v>1</v>
      </c>
      <c r="O1092" s="908">
        <v>6</v>
      </c>
      <c r="P1092" s="907">
        <v>43044.9</v>
      </c>
      <c r="R1092" s="890"/>
    </row>
    <row r="1093" spans="1:18" s="276" customFormat="1" ht="24">
      <c r="A1093" s="908" t="s">
        <v>3199</v>
      </c>
      <c r="B1093" s="908" t="s">
        <v>1402</v>
      </c>
      <c r="C1093" s="908" t="s">
        <v>96</v>
      </c>
      <c r="D1093" s="910" t="s">
        <v>3604</v>
      </c>
      <c r="E1093" s="907">
        <v>5500</v>
      </c>
      <c r="F1093" s="908" t="s">
        <v>3605</v>
      </c>
      <c r="G1093" s="910" t="s">
        <v>3606</v>
      </c>
      <c r="H1093" s="911" t="s">
        <v>2743</v>
      </c>
      <c r="I1093" s="911" t="s">
        <v>2863</v>
      </c>
      <c r="J1093" s="910" t="s">
        <v>3310</v>
      </c>
      <c r="K1093" s="909">
        <v>1</v>
      </c>
      <c r="L1093" s="909">
        <v>7</v>
      </c>
      <c r="M1093" s="907">
        <v>31893.8</v>
      </c>
      <c r="N1093" s="908"/>
      <c r="O1093" s="908"/>
      <c r="P1093" s="907"/>
      <c r="R1093" s="890"/>
    </row>
    <row r="1094" spans="1:18" s="276" customFormat="1" ht="15.95" customHeight="1">
      <c r="A1094" s="908" t="s">
        <v>3199</v>
      </c>
      <c r="B1094" s="908" t="s">
        <v>1402</v>
      </c>
      <c r="C1094" s="908" t="s">
        <v>96</v>
      </c>
      <c r="D1094" s="910" t="s">
        <v>3604</v>
      </c>
      <c r="E1094" s="907">
        <v>9000</v>
      </c>
      <c r="F1094" s="908" t="s">
        <v>3607</v>
      </c>
      <c r="G1094" s="910" t="s">
        <v>3608</v>
      </c>
      <c r="H1094" s="911" t="s">
        <v>2743</v>
      </c>
      <c r="I1094" s="911" t="s">
        <v>2863</v>
      </c>
      <c r="J1094" s="910" t="s">
        <v>2743</v>
      </c>
      <c r="K1094" s="909">
        <v>1</v>
      </c>
      <c r="L1094" s="909">
        <v>12</v>
      </c>
      <c r="M1094" s="907">
        <v>110327.47</v>
      </c>
      <c r="N1094" s="908">
        <v>1</v>
      </c>
      <c r="O1094" s="908">
        <v>6</v>
      </c>
      <c r="P1094" s="907">
        <v>55044.9</v>
      </c>
      <c r="R1094" s="890"/>
    </row>
    <row r="1095" spans="1:18" s="276" customFormat="1" ht="15.95" customHeight="1">
      <c r="A1095" s="908" t="s">
        <v>3199</v>
      </c>
      <c r="B1095" s="908" t="s">
        <v>1402</v>
      </c>
      <c r="C1095" s="908" t="s">
        <v>96</v>
      </c>
      <c r="D1095" s="910" t="s">
        <v>3604</v>
      </c>
      <c r="E1095" s="907">
        <v>5000</v>
      </c>
      <c r="F1095" s="908" t="s">
        <v>3609</v>
      </c>
      <c r="G1095" s="910" t="s">
        <v>3610</v>
      </c>
      <c r="H1095" s="911" t="s">
        <v>2743</v>
      </c>
      <c r="I1095" s="911" t="s">
        <v>2863</v>
      </c>
      <c r="J1095" s="910" t="s">
        <v>2743</v>
      </c>
      <c r="K1095" s="909">
        <v>1</v>
      </c>
      <c r="L1095" s="909">
        <v>12</v>
      </c>
      <c r="M1095" s="907">
        <v>62260.800000000003</v>
      </c>
      <c r="N1095" s="908">
        <v>1</v>
      </c>
      <c r="O1095" s="908">
        <v>6</v>
      </c>
      <c r="P1095" s="907">
        <v>31044.9</v>
      </c>
      <c r="R1095" s="890"/>
    </row>
    <row r="1096" spans="1:18" s="276" customFormat="1" ht="15.95" customHeight="1">
      <c r="A1096" s="908" t="s">
        <v>3199</v>
      </c>
      <c r="B1096" s="908" t="s">
        <v>1402</v>
      </c>
      <c r="C1096" s="908" t="s">
        <v>96</v>
      </c>
      <c r="D1096" s="910" t="s">
        <v>3604</v>
      </c>
      <c r="E1096" s="907">
        <v>7000</v>
      </c>
      <c r="F1096" s="908" t="s">
        <v>3611</v>
      </c>
      <c r="G1096" s="910" t="s">
        <v>3612</v>
      </c>
      <c r="H1096" s="911" t="s">
        <v>2743</v>
      </c>
      <c r="I1096" s="911" t="s">
        <v>2863</v>
      </c>
      <c r="J1096" s="910" t="s">
        <v>2743</v>
      </c>
      <c r="K1096" s="909">
        <v>1</v>
      </c>
      <c r="L1096" s="909">
        <v>12</v>
      </c>
      <c r="M1096" s="907">
        <v>86260.800000000003</v>
      </c>
      <c r="N1096" s="908">
        <v>1</v>
      </c>
      <c r="O1096" s="908">
        <v>6</v>
      </c>
      <c r="P1096" s="907">
        <v>43044.9</v>
      </c>
      <c r="R1096" s="890"/>
    </row>
    <row r="1097" spans="1:18" s="276" customFormat="1" ht="15.95" customHeight="1">
      <c r="A1097" s="908" t="s">
        <v>3199</v>
      </c>
      <c r="B1097" s="908" t="s">
        <v>1402</v>
      </c>
      <c r="C1097" s="908" t="s">
        <v>96</v>
      </c>
      <c r="D1097" s="910" t="s">
        <v>3604</v>
      </c>
      <c r="E1097" s="907">
        <v>5000</v>
      </c>
      <c r="F1097" s="908" t="s">
        <v>3613</v>
      </c>
      <c r="G1097" s="910" t="s">
        <v>3614</v>
      </c>
      <c r="H1097" s="911" t="s">
        <v>2743</v>
      </c>
      <c r="I1097" s="911" t="s">
        <v>2863</v>
      </c>
      <c r="J1097" s="910" t="s">
        <v>2743</v>
      </c>
      <c r="K1097" s="909">
        <v>1</v>
      </c>
      <c r="L1097" s="909">
        <v>12</v>
      </c>
      <c r="M1097" s="907">
        <v>65260.800000000003</v>
      </c>
      <c r="N1097" s="908">
        <v>1</v>
      </c>
      <c r="O1097" s="908">
        <v>6</v>
      </c>
      <c r="P1097" s="907">
        <v>31044.9</v>
      </c>
      <c r="R1097" s="890"/>
    </row>
    <row r="1098" spans="1:18" s="276" customFormat="1" ht="15.95" customHeight="1">
      <c r="A1098" s="908" t="s">
        <v>3199</v>
      </c>
      <c r="B1098" s="908" t="s">
        <v>1402</v>
      </c>
      <c r="C1098" s="908" t="s">
        <v>96</v>
      </c>
      <c r="D1098" s="910" t="s">
        <v>3604</v>
      </c>
      <c r="E1098" s="907">
        <v>4500</v>
      </c>
      <c r="F1098" s="908" t="s">
        <v>3615</v>
      </c>
      <c r="G1098" s="910" t="s">
        <v>3616</v>
      </c>
      <c r="H1098" s="911" t="s">
        <v>2743</v>
      </c>
      <c r="I1098" s="911" t="s">
        <v>2863</v>
      </c>
      <c r="J1098" s="910" t="s">
        <v>2743</v>
      </c>
      <c r="K1098" s="909">
        <v>1</v>
      </c>
      <c r="L1098" s="909">
        <v>12</v>
      </c>
      <c r="M1098" s="907">
        <v>56260.800000000003</v>
      </c>
      <c r="N1098" s="908">
        <v>1</v>
      </c>
      <c r="O1098" s="908">
        <v>6</v>
      </c>
      <c r="P1098" s="907">
        <v>28044.9</v>
      </c>
      <c r="R1098" s="890"/>
    </row>
    <row r="1099" spans="1:18" s="276" customFormat="1" ht="15.95" customHeight="1">
      <c r="A1099" s="908" t="s">
        <v>3199</v>
      </c>
      <c r="B1099" s="908" t="s">
        <v>1402</v>
      </c>
      <c r="C1099" s="908" t="s">
        <v>96</v>
      </c>
      <c r="D1099" s="910" t="s">
        <v>3604</v>
      </c>
      <c r="E1099" s="907">
        <v>5500</v>
      </c>
      <c r="F1099" s="908" t="s">
        <v>3617</v>
      </c>
      <c r="G1099" s="910" t="s">
        <v>3618</v>
      </c>
      <c r="H1099" s="911" t="s">
        <v>2743</v>
      </c>
      <c r="I1099" s="911" t="s">
        <v>2863</v>
      </c>
      <c r="J1099" s="910" t="s">
        <v>2743</v>
      </c>
      <c r="K1099" s="909">
        <v>1</v>
      </c>
      <c r="L1099" s="909">
        <v>12</v>
      </c>
      <c r="M1099" s="907">
        <v>68260.800000000003</v>
      </c>
      <c r="N1099" s="908">
        <v>1</v>
      </c>
      <c r="O1099" s="908">
        <v>6</v>
      </c>
      <c r="P1099" s="907">
        <v>34044.9</v>
      </c>
      <c r="R1099" s="890"/>
    </row>
    <row r="1100" spans="1:18" s="276" customFormat="1" ht="15.95" customHeight="1">
      <c r="A1100" s="908" t="s">
        <v>3199</v>
      </c>
      <c r="B1100" s="908" t="s">
        <v>1402</v>
      </c>
      <c r="C1100" s="908" t="s">
        <v>96</v>
      </c>
      <c r="D1100" s="910" t="s">
        <v>3604</v>
      </c>
      <c r="E1100" s="907">
        <v>2500</v>
      </c>
      <c r="F1100" s="908" t="s">
        <v>3619</v>
      </c>
      <c r="G1100" s="910" t="s">
        <v>3620</v>
      </c>
      <c r="H1100" s="911" t="s">
        <v>2743</v>
      </c>
      <c r="I1100" s="911" t="s">
        <v>2863</v>
      </c>
      <c r="J1100" s="910" t="s">
        <v>2743</v>
      </c>
      <c r="K1100" s="909">
        <v>1</v>
      </c>
      <c r="L1100" s="909">
        <v>12</v>
      </c>
      <c r="M1100" s="907">
        <v>34260.800000000003</v>
      </c>
      <c r="N1100" s="908">
        <v>1</v>
      </c>
      <c r="O1100" s="908">
        <v>6</v>
      </c>
      <c r="P1100" s="907">
        <v>16044.9</v>
      </c>
      <c r="R1100" s="890"/>
    </row>
    <row r="1101" spans="1:18" s="276" customFormat="1" ht="15.95" customHeight="1">
      <c r="A1101" s="908" t="s">
        <v>3199</v>
      </c>
      <c r="B1101" s="908" t="s">
        <v>1402</v>
      </c>
      <c r="C1101" s="908" t="s">
        <v>96</v>
      </c>
      <c r="D1101" s="910" t="s">
        <v>3604</v>
      </c>
      <c r="E1101" s="907">
        <v>7000</v>
      </c>
      <c r="F1101" s="908" t="s">
        <v>3621</v>
      </c>
      <c r="G1101" s="910" t="s">
        <v>3622</v>
      </c>
      <c r="H1101" s="911" t="s">
        <v>2743</v>
      </c>
      <c r="I1101" s="911" t="s">
        <v>2863</v>
      </c>
      <c r="J1101" s="910" t="s">
        <v>2743</v>
      </c>
      <c r="K1101" s="909">
        <v>1</v>
      </c>
      <c r="L1101" s="909">
        <v>12</v>
      </c>
      <c r="M1101" s="907">
        <v>73427.47</v>
      </c>
      <c r="N1101" s="908">
        <v>1</v>
      </c>
      <c r="O1101" s="908">
        <v>6</v>
      </c>
      <c r="P1101" s="907">
        <v>43044.9</v>
      </c>
      <c r="R1101" s="890"/>
    </row>
    <row r="1102" spans="1:18" s="276" customFormat="1" ht="15.95" customHeight="1">
      <c r="A1102" s="908" t="s">
        <v>3199</v>
      </c>
      <c r="B1102" s="908" t="s">
        <v>1402</v>
      </c>
      <c r="C1102" s="908" t="s">
        <v>96</v>
      </c>
      <c r="D1102" s="910" t="s">
        <v>3604</v>
      </c>
      <c r="E1102" s="907">
        <v>4000</v>
      </c>
      <c r="F1102" s="908" t="s">
        <v>3623</v>
      </c>
      <c r="G1102" s="910" t="s">
        <v>3624</v>
      </c>
      <c r="H1102" s="911" t="s">
        <v>2743</v>
      </c>
      <c r="I1102" s="911" t="s">
        <v>2863</v>
      </c>
      <c r="J1102" s="910" t="s">
        <v>2743</v>
      </c>
      <c r="K1102" s="909">
        <v>1</v>
      </c>
      <c r="L1102" s="909">
        <v>12</v>
      </c>
      <c r="M1102" s="907">
        <v>51260.800000000003</v>
      </c>
      <c r="N1102" s="908">
        <v>1</v>
      </c>
      <c r="O1102" s="908">
        <v>6</v>
      </c>
      <c r="P1102" s="907">
        <v>25044.9</v>
      </c>
      <c r="R1102" s="890"/>
    </row>
    <row r="1103" spans="1:18" s="276" customFormat="1" ht="15.95" customHeight="1">
      <c r="A1103" s="908" t="s">
        <v>3199</v>
      </c>
      <c r="B1103" s="908" t="s">
        <v>1402</v>
      </c>
      <c r="C1103" s="908" t="s">
        <v>96</v>
      </c>
      <c r="D1103" s="910" t="s">
        <v>3604</v>
      </c>
      <c r="E1103" s="907">
        <v>7000</v>
      </c>
      <c r="F1103" s="908" t="s">
        <v>3625</v>
      </c>
      <c r="G1103" s="910" t="s">
        <v>3626</v>
      </c>
      <c r="H1103" s="911" t="s">
        <v>2743</v>
      </c>
      <c r="I1103" s="911" t="s">
        <v>2863</v>
      </c>
      <c r="J1103" s="910" t="s">
        <v>3310</v>
      </c>
      <c r="K1103" s="909">
        <v>1</v>
      </c>
      <c r="L1103" s="909">
        <v>12</v>
      </c>
      <c r="M1103" s="907">
        <v>83260.800000000003</v>
      </c>
      <c r="N1103" s="908">
        <v>1</v>
      </c>
      <c r="O1103" s="908">
        <v>6</v>
      </c>
      <c r="P1103" s="907">
        <v>43044.9</v>
      </c>
      <c r="R1103" s="890"/>
    </row>
    <row r="1104" spans="1:18" s="276" customFormat="1" ht="15.95" customHeight="1">
      <c r="A1104" s="908" t="s">
        <v>3199</v>
      </c>
      <c r="B1104" s="908" t="s">
        <v>1402</v>
      </c>
      <c r="C1104" s="908" t="s">
        <v>96</v>
      </c>
      <c r="D1104" s="910" t="s">
        <v>3604</v>
      </c>
      <c r="E1104" s="907">
        <v>7000</v>
      </c>
      <c r="F1104" s="908" t="s">
        <v>3627</v>
      </c>
      <c r="G1104" s="910" t="s">
        <v>3628</v>
      </c>
      <c r="H1104" s="911" t="s">
        <v>2743</v>
      </c>
      <c r="I1104" s="911" t="s">
        <v>2863</v>
      </c>
      <c r="J1104" s="910" t="s">
        <v>2743</v>
      </c>
      <c r="K1104" s="909">
        <v>1</v>
      </c>
      <c r="L1104" s="909">
        <v>12</v>
      </c>
      <c r="M1104" s="907">
        <v>86294.13</v>
      </c>
      <c r="N1104" s="908">
        <v>1</v>
      </c>
      <c r="O1104" s="908">
        <v>6</v>
      </c>
      <c r="P1104" s="907">
        <v>43044.9</v>
      </c>
      <c r="R1104" s="890"/>
    </row>
    <row r="1105" spans="1:18" s="276" customFormat="1" ht="15.95" customHeight="1">
      <c r="A1105" s="908" t="s">
        <v>3199</v>
      </c>
      <c r="B1105" s="908" t="s">
        <v>1402</v>
      </c>
      <c r="C1105" s="908" t="s">
        <v>96</v>
      </c>
      <c r="D1105" s="910" t="s">
        <v>3604</v>
      </c>
      <c r="E1105" s="907">
        <v>3000</v>
      </c>
      <c r="F1105" s="908" t="s">
        <v>3629</v>
      </c>
      <c r="G1105" s="910" t="s">
        <v>3630</v>
      </c>
      <c r="H1105" s="911" t="s">
        <v>2743</v>
      </c>
      <c r="I1105" s="911" t="s">
        <v>2863</v>
      </c>
      <c r="J1105" s="910" t="s">
        <v>2743</v>
      </c>
      <c r="K1105" s="909">
        <v>1</v>
      </c>
      <c r="L1105" s="909">
        <v>12</v>
      </c>
      <c r="M1105" s="907">
        <v>42260.800000000003</v>
      </c>
      <c r="N1105" s="908">
        <v>1</v>
      </c>
      <c r="O1105" s="908">
        <v>6</v>
      </c>
      <c r="P1105" s="907">
        <v>19044.900000000001</v>
      </c>
      <c r="R1105" s="890"/>
    </row>
    <row r="1106" spans="1:18" s="276" customFormat="1" ht="15.95" customHeight="1">
      <c r="A1106" s="908" t="s">
        <v>3199</v>
      </c>
      <c r="B1106" s="908" t="s">
        <v>1402</v>
      </c>
      <c r="C1106" s="908" t="s">
        <v>96</v>
      </c>
      <c r="D1106" s="910" t="s">
        <v>3604</v>
      </c>
      <c r="E1106" s="907">
        <v>4500</v>
      </c>
      <c r="F1106" s="908" t="s">
        <v>3631</v>
      </c>
      <c r="G1106" s="910" t="s">
        <v>3632</v>
      </c>
      <c r="H1106" s="911" t="s">
        <v>1407</v>
      </c>
      <c r="I1106" s="911" t="s">
        <v>2863</v>
      </c>
      <c r="J1106" s="910" t="s">
        <v>3310</v>
      </c>
      <c r="K1106" s="909">
        <v>1</v>
      </c>
      <c r="L1106" s="909">
        <v>8</v>
      </c>
      <c r="M1106" s="907">
        <v>37007.199999999997</v>
      </c>
      <c r="N1106" s="908"/>
      <c r="O1106" s="908"/>
      <c r="P1106" s="907"/>
      <c r="R1106" s="890"/>
    </row>
    <row r="1107" spans="1:18" s="276" customFormat="1" ht="15.95" customHeight="1">
      <c r="A1107" s="908" t="s">
        <v>3199</v>
      </c>
      <c r="B1107" s="908" t="s">
        <v>1402</v>
      </c>
      <c r="C1107" s="908" t="s">
        <v>96</v>
      </c>
      <c r="D1107" s="910" t="s">
        <v>3604</v>
      </c>
      <c r="E1107" s="907">
        <v>4500</v>
      </c>
      <c r="F1107" s="908" t="s">
        <v>3633</v>
      </c>
      <c r="G1107" s="910" t="s">
        <v>3634</v>
      </c>
      <c r="H1107" s="911" t="s">
        <v>2743</v>
      </c>
      <c r="I1107" s="911" t="s">
        <v>2863</v>
      </c>
      <c r="J1107" s="910" t="s">
        <v>2743</v>
      </c>
      <c r="K1107" s="909">
        <v>1</v>
      </c>
      <c r="L1107" s="909">
        <v>12</v>
      </c>
      <c r="M1107" s="907">
        <v>57760.800000000003</v>
      </c>
      <c r="N1107" s="908">
        <v>1</v>
      </c>
      <c r="O1107" s="908">
        <v>6</v>
      </c>
      <c r="P1107" s="907">
        <v>28044.9</v>
      </c>
      <c r="R1107" s="890"/>
    </row>
    <row r="1108" spans="1:18" s="276" customFormat="1" ht="15.95" customHeight="1">
      <c r="A1108" s="908" t="s">
        <v>3199</v>
      </c>
      <c r="B1108" s="908" t="s">
        <v>1402</v>
      </c>
      <c r="C1108" s="908" t="s">
        <v>96</v>
      </c>
      <c r="D1108" s="910" t="s">
        <v>3604</v>
      </c>
      <c r="E1108" s="907">
        <v>7000</v>
      </c>
      <c r="F1108" s="908" t="s">
        <v>3635</v>
      </c>
      <c r="G1108" s="910" t="s">
        <v>3636</v>
      </c>
      <c r="H1108" s="911" t="s">
        <v>2743</v>
      </c>
      <c r="I1108" s="911" t="s">
        <v>2863</v>
      </c>
      <c r="J1108" s="910" t="s">
        <v>2743</v>
      </c>
      <c r="K1108" s="909">
        <v>1</v>
      </c>
      <c r="L1108" s="909">
        <v>12</v>
      </c>
      <c r="M1108" s="907">
        <v>86260.800000000003</v>
      </c>
      <c r="N1108" s="908">
        <v>1</v>
      </c>
      <c r="O1108" s="908">
        <v>6</v>
      </c>
      <c r="P1108" s="907">
        <v>43044.9</v>
      </c>
      <c r="R1108" s="890"/>
    </row>
    <row r="1109" spans="1:18" s="276" customFormat="1" ht="15.95" customHeight="1">
      <c r="A1109" s="908" t="s">
        <v>3199</v>
      </c>
      <c r="B1109" s="908" t="s">
        <v>1402</v>
      </c>
      <c r="C1109" s="908" t="s">
        <v>96</v>
      </c>
      <c r="D1109" s="910" t="s">
        <v>3604</v>
      </c>
      <c r="E1109" s="907">
        <v>4000</v>
      </c>
      <c r="F1109" s="908" t="s">
        <v>3637</v>
      </c>
      <c r="G1109" s="910" t="s">
        <v>3638</v>
      </c>
      <c r="H1109" s="911" t="s">
        <v>2743</v>
      </c>
      <c r="I1109" s="911" t="s">
        <v>2863</v>
      </c>
      <c r="J1109" s="910" t="s">
        <v>2743</v>
      </c>
      <c r="K1109" s="909">
        <v>1</v>
      </c>
      <c r="L1109" s="909">
        <v>12</v>
      </c>
      <c r="M1109" s="907">
        <v>50260.800000000003</v>
      </c>
      <c r="N1109" s="908">
        <v>1</v>
      </c>
      <c r="O1109" s="908">
        <v>6</v>
      </c>
      <c r="P1109" s="907">
        <v>25044.9</v>
      </c>
      <c r="R1109" s="890"/>
    </row>
    <row r="1110" spans="1:18" s="276" customFormat="1" ht="15.95" customHeight="1">
      <c r="A1110" s="908" t="s">
        <v>3199</v>
      </c>
      <c r="B1110" s="908" t="s">
        <v>1402</v>
      </c>
      <c r="C1110" s="908" t="s">
        <v>96</v>
      </c>
      <c r="D1110" s="910" t="s">
        <v>3604</v>
      </c>
      <c r="E1110" s="907">
        <v>5500</v>
      </c>
      <c r="F1110" s="908" t="s">
        <v>3639</v>
      </c>
      <c r="G1110" s="910" t="s">
        <v>3640</v>
      </c>
      <c r="H1110" s="911" t="s">
        <v>2743</v>
      </c>
      <c r="I1110" s="911" t="s">
        <v>2863</v>
      </c>
      <c r="J1110" s="910" t="s">
        <v>2743</v>
      </c>
      <c r="K1110" s="909">
        <v>1</v>
      </c>
      <c r="L1110" s="909">
        <v>12</v>
      </c>
      <c r="M1110" s="907">
        <v>57460.800000000003</v>
      </c>
      <c r="N1110" s="908">
        <v>1</v>
      </c>
      <c r="O1110" s="908">
        <v>6</v>
      </c>
      <c r="P1110" s="907">
        <v>34044.9</v>
      </c>
      <c r="R1110" s="890"/>
    </row>
    <row r="1111" spans="1:18" s="276" customFormat="1" ht="15.95" customHeight="1">
      <c r="A1111" s="908" t="s">
        <v>3199</v>
      </c>
      <c r="B1111" s="908" t="s">
        <v>1402</v>
      </c>
      <c r="C1111" s="908" t="s">
        <v>96</v>
      </c>
      <c r="D1111" s="910" t="s">
        <v>3604</v>
      </c>
      <c r="E1111" s="907">
        <v>7000</v>
      </c>
      <c r="F1111" s="908" t="s">
        <v>3641</v>
      </c>
      <c r="G1111" s="910" t="s">
        <v>3642</v>
      </c>
      <c r="H1111" s="911" t="s">
        <v>2743</v>
      </c>
      <c r="I1111" s="911" t="s">
        <v>2863</v>
      </c>
      <c r="J1111" s="910" t="s">
        <v>2743</v>
      </c>
      <c r="K1111" s="909">
        <v>1</v>
      </c>
      <c r="L1111" s="909">
        <v>12</v>
      </c>
      <c r="M1111" s="907">
        <v>86260.800000000003</v>
      </c>
      <c r="N1111" s="908">
        <v>1</v>
      </c>
      <c r="O1111" s="908">
        <v>6</v>
      </c>
      <c r="P1111" s="907">
        <v>43044.9</v>
      </c>
      <c r="R1111" s="890"/>
    </row>
    <row r="1112" spans="1:18" s="276" customFormat="1" ht="15.95" customHeight="1">
      <c r="A1112" s="908" t="s">
        <v>3199</v>
      </c>
      <c r="B1112" s="908" t="s">
        <v>1402</v>
      </c>
      <c r="C1112" s="908" t="s">
        <v>96</v>
      </c>
      <c r="D1112" s="910" t="s">
        <v>3604</v>
      </c>
      <c r="E1112" s="907">
        <v>9000</v>
      </c>
      <c r="F1112" s="908" t="s">
        <v>3643</v>
      </c>
      <c r="G1112" s="910" t="s">
        <v>3644</v>
      </c>
      <c r="H1112" s="911" t="s">
        <v>2743</v>
      </c>
      <c r="I1112" s="911" t="s">
        <v>2863</v>
      </c>
      <c r="J1112" s="910" t="s">
        <v>2743</v>
      </c>
      <c r="K1112" s="909">
        <v>1</v>
      </c>
      <c r="L1112" s="909">
        <v>12</v>
      </c>
      <c r="M1112" s="907">
        <v>101060.8</v>
      </c>
      <c r="N1112" s="908">
        <v>1</v>
      </c>
      <c r="O1112" s="908">
        <v>6</v>
      </c>
      <c r="P1112" s="907">
        <v>55044.9</v>
      </c>
      <c r="R1112" s="890"/>
    </row>
    <row r="1113" spans="1:18" s="276" customFormat="1" ht="15.95" customHeight="1">
      <c r="A1113" s="908" t="s">
        <v>3199</v>
      </c>
      <c r="B1113" s="908" t="s">
        <v>1402</v>
      </c>
      <c r="C1113" s="908" t="s">
        <v>96</v>
      </c>
      <c r="D1113" s="910" t="s">
        <v>3604</v>
      </c>
      <c r="E1113" s="907">
        <v>3500</v>
      </c>
      <c r="F1113" s="908" t="s">
        <v>3645</v>
      </c>
      <c r="G1113" s="910" t="s">
        <v>3646</v>
      </c>
      <c r="H1113" s="911" t="s">
        <v>2743</v>
      </c>
      <c r="I1113" s="911" t="s">
        <v>2863</v>
      </c>
      <c r="J1113" s="910" t="s">
        <v>2743</v>
      </c>
      <c r="K1113" s="909">
        <v>1</v>
      </c>
      <c r="L1113" s="909">
        <v>12</v>
      </c>
      <c r="M1113" s="907">
        <v>44260.800000000003</v>
      </c>
      <c r="N1113" s="908">
        <v>1</v>
      </c>
      <c r="O1113" s="908">
        <v>6</v>
      </c>
      <c r="P1113" s="907">
        <v>22044.9</v>
      </c>
      <c r="R1113" s="890"/>
    </row>
    <row r="1114" spans="1:18" s="276" customFormat="1" ht="15.95" customHeight="1">
      <c r="A1114" s="908" t="s">
        <v>3199</v>
      </c>
      <c r="B1114" s="908" t="s">
        <v>1402</v>
      </c>
      <c r="C1114" s="908" t="s">
        <v>96</v>
      </c>
      <c r="D1114" s="910" t="s">
        <v>3604</v>
      </c>
      <c r="E1114" s="907">
        <v>4500</v>
      </c>
      <c r="F1114" s="908" t="s">
        <v>3647</v>
      </c>
      <c r="G1114" s="910" t="s">
        <v>3648</v>
      </c>
      <c r="H1114" s="911" t="s">
        <v>2743</v>
      </c>
      <c r="I1114" s="911" t="s">
        <v>2863</v>
      </c>
      <c r="J1114" s="910" t="s">
        <v>2743</v>
      </c>
      <c r="K1114" s="909">
        <v>1</v>
      </c>
      <c r="L1114" s="909">
        <v>12</v>
      </c>
      <c r="M1114" s="907">
        <v>56260.800000000003</v>
      </c>
      <c r="N1114" s="908">
        <v>1</v>
      </c>
      <c r="O1114" s="908">
        <v>6</v>
      </c>
      <c r="P1114" s="907">
        <v>28044.9</v>
      </c>
      <c r="R1114" s="890"/>
    </row>
    <row r="1115" spans="1:18" s="276" customFormat="1" ht="15.95" customHeight="1">
      <c r="A1115" s="908" t="s">
        <v>3199</v>
      </c>
      <c r="B1115" s="908" t="s">
        <v>1402</v>
      </c>
      <c r="C1115" s="908" t="s">
        <v>96</v>
      </c>
      <c r="D1115" s="910" t="s">
        <v>3604</v>
      </c>
      <c r="E1115" s="907">
        <v>5500</v>
      </c>
      <c r="F1115" s="908" t="s">
        <v>3649</v>
      </c>
      <c r="G1115" s="910" t="s">
        <v>3650</v>
      </c>
      <c r="H1115" s="911" t="s">
        <v>2743</v>
      </c>
      <c r="I1115" s="911" t="s">
        <v>2863</v>
      </c>
      <c r="J1115" s="910" t="s">
        <v>2743</v>
      </c>
      <c r="K1115" s="909"/>
      <c r="L1115" s="909"/>
      <c r="M1115" s="907"/>
      <c r="N1115" s="908">
        <v>1</v>
      </c>
      <c r="O1115" s="908">
        <v>5</v>
      </c>
      <c r="P1115" s="907">
        <v>30387.42</v>
      </c>
      <c r="R1115" s="890"/>
    </row>
    <row r="1116" spans="1:18" s="276" customFormat="1" ht="15.95" customHeight="1">
      <c r="A1116" s="908" t="s">
        <v>3199</v>
      </c>
      <c r="B1116" s="908" t="s">
        <v>1402</v>
      </c>
      <c r="C1116" s="908" t="s">
        <v>96</v>
      </c>
      <c r="D1116" s="910" t="s">
        <v>3604</v>
      </c>
      <c r="E1116" s="907">
        <v>4000</v>
      </c>
      <c r="F1116" s="908" t="s">
        <v>3651</v>
      </c>
      <c r="G1116" s="910" t="s">
        <v>3652</v>
      </c>
      <c r="H1116" s="911" t="s">
        <v>3303</v>
      </c>
      <c r="I1116" s="911" t="s">
        <v>1407</v>
      </c>
      <c r="J1116" s="910" t="s">
        <v>3653</v>
      </c>
      <c r="K1116" s="909">
        <v>1</v>
      </c>
      <c r="L1116" s="909">
        <v>12</v>
      </c>
      <c r="M1116" s="907">
        <v>49760.800000000003</v>
      </c>
      <c r="N1116" s="908">
        <v>1</v>
      </c>
      <c r="O1116" s="908">
        <v>6</v>
      </c>
      <c r="P1116" s="907">
        <v>25044.9</v>
      </c>
      <c r="R1116" s="890"/>
    </row>
    <row r="1117" spans="1:18" s="276" customFormat="1" ht="15.95" customHeight="1">
      <c r="A1117" s="908" t="s">
        <v>3199</v>
      </c>
      <c r="B1117" s="908" t="s">
        <v>1402</v>
      </c>
      <c r="C1117" s="908" t="s">
        <v>96</v>
      </c>
      <c r="D1117" s="910" t="s">
        <v>3654</v>
      </c>
      <c r="E1117" s="907">
        <v>7000</v>
      </c>
      <c r="F1117" s="908" t="s">
        <v>3655</v>
      </c>
      <c r="G1117" s="910" t="s">
        <v>3656</v>
      </c>
      <c r="H1117" s="911" t="s">
        <v>3657</v>
      </c>
      <c r="I1117" s="911" t="s">
        <v>2863</v>
      </c>
      <c r="J1117" s="910" t="s">
        <v>3657</v>
      </c>
      <c r="K1117" s="909">
        <v>1</v>
      </c>
      <c r="L1117" s="909">
        <v>12</v>
      </c>
      <c r="M1117" s="907">
        <v>86257.47</v>
      </c>
      <c r="N1117" s="908">
        <v>1</v>
      </c>
      <c r="O1117" s="908">
        <v>6</v>
      </c>
      <c r="P1117" s="907">
        <v>43044.9</v>
      </c>
      <c r="R1117" s="890"/>
    </row>
    <row r="1118" spans="1:18" s="276" customFormat="1" ht="24">
      <c r="A1118" s="908" t="s">
        <v>3199</v>
      </c>
      <c r="B1118" s="908" t="s">
        <v>1402</v>
      </c>
      <c r="C1118" s="908" t="s">
        <v>96</v>
      </c>
      <c r="D1118" s="910" t="s">
        <v>3654</v>
      </c>
      <c r="E1118" s="907">
        <v>3000</v>
      </c>
      <c r="F1118" s="908" t="s">
        <v>3658</v>
      </c>
      <c r="G1118" s="910" t="s">
        <v>3659</v>
      </c>
      <c r="H1118" s="911" t="s">
        <v>3599</v>
      </c>
      <c r="I1118" s="911" t="s">
        <v>2863</v>
      </c>
      <c r="J1118" s="910" t="s">
        <v>3599</v>
      </c>
      <c r="K1118" s="909">
        <v>1</v>
      </c>
      <c r="L1118" s="909">
        <v>12</v>
      </c>
      <c r="M1118" s="907">
        <v>38657.47</v>
      </c>
      <c r="N1118" s="908">
        <v>1</v>
      </c>
      <c r="O1118" s="908">
        <v>6</v>
      </c>
      <c r="P1118" s="907">
        <v>19044.900000000001</v>
      </c>
      <c r="R1118" s="890"/>
    </row>
    <row r="1119" spans="1:18" s="276" customFormat="1" ht="15.95" customHeight="1">
      <c r="A1119" s="908" t="s">
        <v>3199</v>
      </c>
      <c r="B1119" s="908" t="s">
        <v>1402</v>
      </c>
      <c r="C1119" s="908" t="s">
        <v>96</v>
      </c>
      <c r="D1119" s="910" t="s">
        <v>3654</v>
      </c>
      <c r="E1119" s="907">
        <v>4000</v>
      </c>
      <c r="F1119" s="908" t="s">
        <v>3660</v>
      </c>
      <c r="G1119" s="910" t="s">
        <v>3661</v>
      </c>
      <c r="H1119" s="911" t="s">
        <v>3226</v>
      </c>
      <c r="I1119" s="911" t="s">
        <v>2863</v>
      </c>
      <c r="J1119" s="910" t="s">
        <v>2750</v>
      </c>
      <c r="K1119" s="909">
        <v>1</v>
      </c>
      <c r="L1119" s="909">
        <v>12</v>
      </c>
      <c r="M1119" s="907">
        <v>50160.800000000003</v>
      </c>
      <c r="N1119" s="908">
        <v>1</v>
      </c>
      <c r="O1119" s="908">
        <v>6</v>
      </c>
      <c r="P1119" s="907">
        <v>25044.9</v>
      </c>
      <c r="R1119" s="890"/>
    </row>
    <row r="1120" spans="1:18" s="276" customFormat="1" ht="15.95" customHeight="1">
      <c r="A1120" s="908" t="s">
        <v>3199</v>
      </c>
      <c r="B1120" s="908" t="s">
        <v>1402</v>
      </c>
      <c r="C1120" s="908" t="s">
        <v>96</v>
      </c>
      <c r="D1120" s="910" t="s">
        <v>3654</v>
      </c>
      <c r="E1120" s="907">
        <v>6000</v>
      </c>
      <c r="F1120" s="908" t="s">
        <v>3662</v>
      </c>
      <c r="G1120" s="910" t="s">
        <v>3663</v>
      </c>
      <c r="H1120" s="911" t="s">
        <v>3226</v>
      </c>
      <c r="I1120" s="911" t="s">
        <v>2863</v>
      </c>
      <c r="J1120" s="910" t="s">
        <v>2750</v>
      </c>
      <c r="K1120" s="909">
        <v>1</v>
      </c>
      <c r="L1120" s="909">
        <v>12</v>
      </c>
      <c r="M1120" s="907">
        <v>73560.800000000003</v>
      </c>
      <c r="N1120" s="908">
        <v>1</v>
      </c>
      <c r="O1120" s="908">
        <v>6</v>
      </c>
      <c r="P1120" s="907">
        <v>37044.9</v>
      </c>
      <c r="R1120" s="890"/>
    </row>
    <row r="1121" spans="1:18" s="276" customFormat="1" ht="15.95" customHeight="1">
      <c r="A1121" s="908" t="s">
        <v>3199</v>
      </c>
      <c r="B1121" s="908" t="s">
        <v>1402</v>
      </c>
      <c r="C1121" s="908" t="s">
        <v>96</v>
      </c>
      <c r="D1121" s="910" t="s">
        <v>3654</v>
      </c>
      <c r="E1121" s="907">
        <v>3300</v>
      </c>
      <c r="F1121" s="908" t="s">
        <v>3664</v>
      </c>
      <c r="G1121" s="910" t="s">
        <v>3665</v>
      </c>
      <c r="H1121" s="911" t="s">
        <v>1478</v>
      </c>
      <c r="I1121" s="911" t="s">
        <v>1407</v>
      </c>
      <c r="J1121" s="910" t="s">
        <v>1478</v>
      </c>
      <c r="K1121" s="909">
        <v>1</v>
      </c>
      <c r="L1121" s="909">
        <v>11</v>
      </c>
      <c r="M1121" s="907">
        <v>38914.07</v>
      </c>
      <c r="N1121" s="908">
        <v>1</v>
      </c>
      <c r="O1121" s="908">
        <v>6</v>
      </c>
      <c r="P1121" s="907">
        <v>20844.900000000001</v>
      </c>
      <c r="R1121" s="890"/>
    </row>
    <row r="1122" spans="1:18" s="276" customFormat="1" ht="15.95" customHeight="1">
      <c r="A1122" s="908" t="s">
        <v>3199</v>
      </c>
      <c r="B1122" s="908" t="s">
        <v>1402</v>
      </c>
      <c r="C1122" s="908" t="s">
        <v>96</v>
      </c>
      <c r="D1122" s="910" t="s">
        <v>3654</v>
      </c>
      <c r="E1122" s="907">
        <v>6500</v>
      </c>
      <c r="F1122" s="908" t="s">
        <v>3666</v>
      </c>
      <c r="G1122" s="910" t="s">
        <v>3667</v>
      </c>
      <c r="H1122" s="911" t="s">
        <v>3599</v>
      </c>
      <c r="I1122" s="911" t="s">
        <v>2863</v>
      </c>
      <c r="J1122" s="910" t="s">
        <v>3599</v>
      </c>
      <c r="K1122" s="909">
        <v>1</v>
      </c>
      <c r="L1122" s="909">
        <v>12</v>
      </c>
      <c r="M1122" s="907">
        <v>79260.800000000003</v>
      </c>
      <c r="N1122" s="908">
        <v>1</v>
      </c>
      <c r="O1122" s="908">
        <v>6</v>
      </c>
      <c r="P1122" s="907">
        <v>40044.9</v>
      </c>
      <c r="R1122" s="890"/>
    </row>
    <row r="1123" spans="1:18" s="276" customFormat="1" ht="24">
      <c r="A1123" s="908" t="s">
        <v>3199</v>
      </c>
      <c r="B1123" s="908" t="s">
        <v>1402</v>
      </c>
      <c r="C1123" s="908" t="s">
        <v>96</v>
      </c>
      <c r="D1123" s="910" t="s">
        <v>3668</v>
      </c>
      <c r="E1123" s="907">
        <v>5500</v>
      </c>
      <c r="F1123" s="908" t="s">
        <v>3669</v>
      </c>
      <c r="G1123" s="910" t="s">
        <v>3670</v>
      </c>
      <c r="H1123" s="911" t="s">
        <v>2743</v>
      </c>
      <c r="I1123" s="911" t="s">
        <v>2863</v>
      </c>
      <c r="J1123" s="910" t="s">
        <v>2743</v>
      </c>
      <c r="K1123" s="909">
        <v>1</v>
      </c>
      <c r="L1123" s="909">
        <v>4</v>
      </c>
      <c r="M1123" s="907">
        <v>22753.599999999999</v>
      </c>
      <c r="N1123" s="908"/>
      <c r="O1123" s="908"/>
      <c r="P1123" s="907"/>
      <c r="R1123" s="890"/>
    </row>
    <row r="1124" spans="1:18" s="276" customFormat="1" ht="24">
      <c r="A1124" s="908" t="s">
        <v>3199</v>
      </c>
      <c r="B1124" s="908" t="s">
        <v>1402</v>
      </c>
      <c r="C1124" s="908" t="s">
        <v>96</v>
      </c>
      <c r="D1124" s="910" t="s">
        <v>3671</v>
      </c>
      <c r="E1124" s="907">
        <v>5500</v>
      </c>
      <c r="F1124" s="908" t="s">
        <v>3672</v>
      </c>
      <c r="G1124" s="910" t="s">
        <v>3673</v>
      </c>
      <c r="H1124" s="911" t="s">
        <v>3226</v>
      </c>
      <c r="I1124" s="911" t="s">
        <v>2863</v>
      </c>
      <c r="J1124" s="910" t="s">
        <v>2750</v>
      </c>
      <c r="K1124" s="909">
        <v>1</v>
      </c>
      <c r="L1124" s="909">
        <v>11</v>
      </c>
      <c r="M1124" s="907">
        <v>41040.07</v>
      </c>
      <c r="N1124" s="908">
        <v>1</v>
      </c>
      <c r="O1124" s="908">
        <v>6</v>
      </c>
      <c r="P1124" s="907">
        <v>34044.9</v>
      </c>
      <c r="R1124" s="890"/>
    </row>
    <row r="1125" spans="1:18" s="276" customFormat="1" ht="15.95" customHeight="1">
      <c r="A1125" s="908" t="s">
        <v>3199</v>
      </c>
      <c r="B1125" s="908" t="s">
        <v>1402</v>
      </c>
      <c r="C1125" s="908" t="s">
        <v>96</v>
      </c>
      <c r="D1125" s="910" t="s">
        <v>3671</v>
      </c>
      <c r="E1125" s="907">
        <v>5000</v>
      </c>
      <c r="F1125" s="908" t="s">
        <v>3674</v>
      </c>
      <c r="G1125" s="910" t="s">
        <v>3675</v>
      </c>
      <c r="H1125" s="911" t="s">
        <v>2743</v>
      </c>
      <c r="I1125" s="911" t="s">
        <v>2863</v>
      </c>
      <c r="J1125" s="910" t="s">
        <v>2743</v>
      </c>
      <c r="K1125" s="909">
        <v>1</v>
      </c>
      <c r="L1125" s="909">
        <v>12</v>
      </c>
      <c r="M1125" s="907">
        <v>61757.47</v>
      </c>
      <c r="N1125" s="908">
        <v>1</v>
      </c>
      <c r="O1125" s="908">
        <v>6</v>
      </c>
      <c r="P1125" s="907">
        <v>31044.9</v>
      </c>
      <c r="R1125" s="890"/>
    </row>
    <row r="1126" spans="1:18" s="276" customFormat="1" ht="15.95" customHeight="1">
      <c r="A1126" s="908" t="s">
        <v>3199</v>
      </c>
      <c r="B1126" s="908" t="s">
        <v>1402</v>
      </c>
      <c r="C1126" s="908" t="s">
        <v>96</v>
      </c>
      <c r="D1126" s="910" t="s">
        <v>3671</v>
      </c>
      <c r="E1126" s="907">
        <v>5500</v>
      </c>
      <c r="F1126" s="908" t="s">
        <v>3676</v>
      </c>
      <c r="G1126" s="910" t="s">
        <v>3677</v>
      </c>
      <c r="H1126" s="911" t="s">
        <v>2750</v>
      </c>
      <c r="I1126" s="911" t="s">
        <v>2863</v>
      </c>
      <c r="J1126" s="910" t="s">
        <v>2750</v>
      </c>
      <c r="K1126" s="909">
        <v>1</v>
      </c>
      <c r="L1126" s="909">
        <v>12</v>
      </c>
      <c r="M1126" s="907">
        <v>68260.800000000003</v>
      </c>
      <c r="N1126" s="908">
        <v>1</v>
      </c>
      <c r="O1126" s="908">
        <v>6</v>
      </c>
      <c r="P1126" s="907">
        <v>34044.9</v>
      </c>
      <c r="R1126" s="890"/>
    </row>
    <row r="1127" spans="1:18" s="276" customFormat="1" ht="15.95" customHeight="1">
      <c r="A1127" s="908" t="s">
        <v>3199</v>
      </c>
      <c r="B1127" s="908" t="s">
        <v>1402</v>
      </c>
      <c r="C1127" s="908" t="s">
        <v>96</v>
      </c>
      <c r="D1127" s="910" t="s">
        <v>3671</v>
      </c>
      <c r="E1127" s="907">
        <v>5500</v>
      </c>
      <c r="F1127" s="908" t="s">
        <v>3678</v>
      </c>
      <c r="G1127" s="910" t="s">
        <v>3679</v>
      </c>
      <c r="H1127" s="911" t="s">
        <v>2743</v>
      </c>
      <c r="I1127" s="911" t="s">
        <v>1420</v>
      </c>
      <c r="J1127" s="910" t="s">
        <v>2743</v>
      </c>
      <c r="K1127" s="909">
        <v>1</v>
      </c>
      <c r="L1127" s="909">
        <v>3</v>
      </c>
      <c r="M1127" s="907">
        <v>14556.87</v>
      </c>
      <c r="N1127" s="908">
        <v>1</v>
      </c>
      <c r="O1127" s="908">
        <v>6</v>
      </c>
      <c r="P1127" s="907">
        <v>34044.9</v>
      </c>
      <c r="R1127" s="890"/>
    </row>
    <row r="1128" spans="1:18" s="276" customFormat="1" ht="15.95" customHeight="1">
      <c r="A1128" s="908" t="s">
        <v>3199</v>
      </c>
      <c r="B1128" s="908" t="s">
        <v>1402</v>
      </c>
      <c r="C1128" s="908" t="s">
        <v>96</v>
      </c>
      <c r="D1128" s="910" t="s">
        <v>3671</v>
      </c>
      <c r="E1128" s="907">
        <v>5000</v>
      </c>
      <c r="F1128" s="908" t="s">
        <v>3680</v>
      </c>
      <c r="G1128" s="910" t="s">
        <v>3681</v>
      </c>
      <c r="H1128" s="911" t="s">
        <v>2750</v>
      </c>
      <c r="I1128" s="911" t="s">
        <v>2863</v>
      </c>
      <c r="J1128" s="910" t="s">
        <v>2750</v>
      </c>
      <c r="K1128" s="909">
        <v>1</v>
      </c>
      <c r="L1128" s="909">
        <v>12</v>
      </c>
      <c r="M1128" s="907">
        <v>62260.800000000003</v>
      </c>
      <c r="N1128" s="908">
        <v>1</v>
      </c>
      <c r="O1128" s="908">
        <v>6</v>
      </c>
      <c r="P1128" s="907">
        <v>31044.9</v>
      </c>
      <c r="R1128" s="890"/>
    </row>
    <row r="1129" spans="1:18" s="276" customFormat="1" ht="15.95" customHeight="1">
      <c r="A1129" s="908" t="s">
        <v>3199</v>
      </c>
      <c r="B1129" s="908" t="s">
        <v>1402</v>
      </c>
      <c r="C1129" s="908" t="s">
        <v>96</v>
      </c>
      <c r="D1129" s="910" t="s">
        <v>3671</v>
      </c>
      <c r="E1129" s="907">
        <v>2700</v>
      </c>
      <c r="F1129" s="908" t="s">
        <v>3682</v>
      </c>
      <c r="G1129" s="910" t="s">
        <v>3683</v>
      </c>
      <c r="H1129" s="911" t="s">
        <v>2743</v>
      </c>
      <c r="I1129" s="911" t="s">
        <v>1420</v>
      </c>
      <c r="J1129" s="910" t="s">
        <v>2743</v>
      </c>
      <c r="K1129" s="909">
        <v>1</v>
      </c>
      <c r="L1129" s="909">
        <v>12</v>
      </c>
      <c r="M1129" s="907">
        <v>39357.47</v>
      </c>
      <c r="N1129" s="908">
        <v>1</v>
      </c>
      <c r="O1129" s="908">
        <v>6</v>
      </c>
      <c r="P1129" s="907">
        <v>17244.900000000001</v>
      </c>
      <c r="R1129" s="890"/>
    </row>
    <row r="1130" spans="1:18" s="276" customFormat="1" ht="15.95" customHeight="1">
      <c r="A1130" s="908" t="s">
        <v>3199</v>
      </c>
      <c r="B1130" s="908" t="s">
        <v>1402</v>
      </c>
      <c r="C1130" s="908" t="s">
        <v>96</v>
      </c>
      <c r="D1130" s="910" t="s">
        <v>3671</v>
      </c>
      <c r="E1130" s="907">
        <v>5500</v>
      </c>
      <c r="F1130" s="908" t="s">
        <v>3684</v>
      </c>
      <c r="G1130" s="910" t="s">
        <v>3685</v>
      </c>
      <c r="H1130" s="911" t="s">
        <v>2750</v>
      </c>
      <c r="I1130" s="911" t="s">
        <v>2863</v>
      </c>
      <c r="J1130" s="910" t="s">
        <v>2750</v>
      </c>
      <c r="K1130" s="909">
        <v>1</v>
      </c>
      <c r="L1130" s="909">
        <v>12</v>
      </c>
      <c r="M1130" s="907">
        <v>66260.800000000003</v>
      </c>
      <c r="N1130" s="908">
        <v>1</v>
      </c>
      <c r="O1130" s="908">
        <v>6</v>
      </c>
      <c r="P1130" s="907">
        <v>34044.9</v>
      </c>
      <c r="R1130" s="890"/>
    </row>
    <row r="1131" spans="1:18" s="276" customFormat="1" ht="24">
      <c r="A1131" s="908" t="s">
        <v>3199</v>
      </c>
      <c r="B1131" s="908" t="s">
        <v>1402</v>
      </c>
      <c r="C1131" s="908" t="s">
        <v>96</v>
      </c>
      <c r="D1131" s="910" t="s">
        <v>3671</v>
      </c>
      <c r="E1131" s="907">
        <v>5500</v>
      </c>
      <c r="F1131" s="908" t="s">
        <v>3686</v>
      </c>
      <c r="G1131" s="910" t="s">
        <v>3687</v>
      </c>
      <c r="H1131" s="911" t="s">
        <v>2750</v>
      </c>
      <c r="I1131" s="911" t="s">
        <v>2863</v>
      </c>
      <c r="J1131" s="910" t="s">
        <v>2750</v>
      </c>
      <c r="K1131" s="909">
        <v>1</v>
      </c>
      <c r="L1131" s="909">
        <v>12</v>
      </c>
      <c r="M1131" s="907">
        <v>67260.800000000003</v>
      </c>
      <c r="N1131" s="908">
        <v>1</v>
      </c>
      <c r="O1131" s="908">
        <v>6</v>
      </c>
      <c r="P1131" s="907">
        <v>34044.9</v>
      </c>
      <c r="R1131" s="890"/>
    </row>
    <row r="1132" spans="1:18" s="276" customFormat="1" ht="15.95" customHeight="1">
      <c r="A1132" s="908" t="s">
        <v>3199</v>
      </c>
      <c r="B1132" s="908" t="s">
        <v>1402</v>
      </c>
      <c r="C1132" s="908" t="s">
        <v>96</v>
      </c>
      <c r="D1132" s="910" t="s">
        <v>3671</v>
      </c>
      <c r="E1132" s="907">
        <v>5500</v>
      </c>
      <c r="F1132" s="908" t="s">
        <v>3688</v>
      </c>
      <c r="G1132" s="910" t="s">
        <v>3689</v>
      </c>
      <c r="H1132" s="911" t="s">
        <v>2750</v>
      </c>
      <c r="I1132" s="911" t="s">
        <v>2863</v>
      </c>
      <c r="J1132" s="910" t="s">
        <v>2750</v>
      </c>
      <c r="K1132" s="909">
        <v>1</v>
      </c>
      <c r="L1132" s="909">
        <v>12</v>
      </c>
      <c r="M1132" s="907">
        <v>67760.800000000003</v>
      </c>
      <c r="N1132" s="908">
        <v>1</v>
      </c>
      <c r="O1132" s="908">
        <v>6</v>
      </c>
      <c r="P1132" s="907">
        <v>34044.9</v>
      </c>
      <c r="R1132" s="890"/>
    </row>
    <row r="1133" spans="1:18" s="276" customFormat="1" ht="15.95" customHeight="1">
      <c r="A1133" s="908" t="s">
        <v>3199</v>
      </c>
      <c r="B1133" s="908" t="s">
        <v>1402</v>
      </c>
      <c r="C1133" s="908" t="s">
        <v>96</v>
      </c>
      <c r="D1133" s="910" t="s">
        <v>3690</v>
      </c>
      <c r="E1133" s="907">
        <v>5000</v>
      </c>
      <c r="F1133" s="908" t="s">
        <v>3691</v>
      </c>
      <c r="G1133" s="910" t="s">
        <v>3692</v>
      </c>
      <c r="H1133" s="911" t="s">
        <v>2750</v>
      </c>
      <c r="I1133" s="911" t="s">
        <v>2863</v>
      </c>
      <c r="J1133" s="910" t="s">
        <v>2750</v>
      </c>
      <c r="K1133" s="909">
        <v>1</v>
      </c>
      <c r="L1133" s="909">
        <v>11</v>
      </c>
      <c r="M1133" s="907">
        <v>61409.409999999996</v>
      </c>
      <c r="N1133" s="908">
        <v>1</v>
      </c>
      <c r="O1133" s="908">
        <v>2</v>
      </c>
      <c r="P1133" s="907">
        <v>10348.299999999999</v>
      </c>
      <c r="R1133" s="890"/>
    </row>
    <row r="1134" spans="1:18" s="276" customFormat="1" ht="15.95" customHeight="1">
      <c r="A1134" s="908" t="s">
        <v>3199</v>
      </c>
      <c r="B1134" s="908" t="s">
        <v>1402</v>
      </c>
      <c r="C1134" s="908" t="s">
        <v>96</v>
      </c>
      <c r="D1134" s="910" t="s">
        <v>3693</v>
      </c>
      <c r="E1134" s="907">
        <v>3500</v>
      </c>
      <c r="F1134" s="908" t="s">
        <v>3694</v>
      </c>
      <c r="G1134" s="910" t="s">
        <v>3695</v>
      </c>
      <c r="H1134" s="911" t="s">
        <v>3285</v>
      </c>
      <c r="I1134" s="911" t="s">
        <v>1407</v>
      </c>
      <c r="J1134" s="910" t="s">
        <v>3285</v>
      </c>
      <c r="K1134" s="909">
        <v>1</v>
      </c>
      <c r="L1134" s="909">
        <v>12</v>
      </c>
      <c r="M1134" s="907">
        <v>43934.130000000005</v>
      </c>
      <c r="N1134" s="908">
        <v>1</v>
      </c>
      <c r="O1134" s="908">
        <v>6</v>
      </c>
      <c r="P1134" s="907">
        <v>22044.9</v>
      </c>
      <c r="R1134" s="890"/>
    </row>
    <row r="1135" spans="1:18" s="276" customFormat="1" ht="15.95" customHeight="1">
      <c r="A1135" s="908" t="s">
        <v>3199</v>
      </c>
      <c r="B1135" s="908" t="s">
        <v>1402</v>
      </c>
      <c r="C1135" s="908" t="s">
        <v>96</v>
      </c>
      <c r="D1135" s="910" t="s">
        <v>3693</v>
      </c>
      <c r="E1135" s="907">
        <v>15600</v>
      </c>
      <c r="F1135" s="908" t="s">
        <v>3696</v>
      </c>
      <c r="G1135" s="910" t="s">
        <v>3697</v>
      </c>
      <c r="H1135" s="911" t="s">
        <v>2743</v>
      </c>
      <c r="I1135" s="911" t="s">
        <v>2863</v>
      </c>
      <c r="J1135" s="910" t="s">
        <v>2743</v>
      </c>
      <c r="K1135" s="909">
        <v>1</v>
      </c>
      <c r="L1135" s="909">
        <v>2</v>
      </c>
      <c r="M1135" s="907">
        <v>28826.799999999999</v>
      </c>
      <c r="N1135" s="908">
        <v>1</v>
      </c>
      <c r="O1135" s="908">
        <v>6</v>
      </c>
      <c r="P1135" s="907">
        <v>93084.9</v>
      </c>
      <c r="R1135" s="890"/>
    </row>
    <row r="1136" spans="1:18" s="276" customFormat="1" ht="15.95" customHeight="1">
      <c r="A1136" s="908" t="s">
        <v>3199</v>
      </c>
      <c r="B1136" s="908" t="s">
        <v>1402</v>
      </c>
      <c r="C1136" s="908" t="s">
        <v>96</v>
      </c>
      <c r="D1136" s="910" t="s">
        <v>3693</v>
      </c>
      <c r="E1136" s="907">
        <v>15600</v>
      </c>
      <c r="F1136" s="908" t="s">
        <v>3698</v>
      </c>
      <c r="G1136" s="910" t="s">
        <v>3699</v>
      </c>
      <c r="H1136" s="911" t="s">
        <v>2743</v>
      </c>
      <c r="I1136" s="911" t="s">
        <v>2863</v>
      </c>
      <c r="J1136" s="910" t="s">
        <v>2743</v>
      </c>
      <c r="K1136" s="909">
        <v>1</v>
      </c>
      <c r="L1136" s="909">
        <v>10</v>
      </c>
      <c r="M1136" s="907">
        <v>147634</v>
      </c>
      <c r="N1136" s="908"/>
      <c r="O1136" s="908"/>
      <c r="P1136" s="907"/>
      <c r="R1136" s="890"/>
    </row>
    <row r="1137" spans="1:18" s="276" customFormat="1" ht="24">
      <c r="A1137" s="908" t="s">
        <v>3199</v>
      </c>
      <c r="B1137" s="908" t="s">
        <v>1402</v>
      </c>
      <c r="C1137" s="908" t="s">
        <v>96</v>
      </c>
      <c r="D1137" s="910" t="s">
        <v>3700</v>
      </c>
      <c r="E1137" s="907">
        <v>5500</v>
      </c>
      <c r="F1137" s="908" t="s">
        <v>3701</v>
      </c>
      <c r="G1137" s="910" t="s">
        <v>3702</v>
      </c>
      <c r="H1137" s="911" t="s">
        <v>3657</v>
      </c>
      <c r="I1137" s="911" t="s">
        <v>2863</v>
      </c>
      <c r="J1137" s="910" t="s">
        <v>3657</v>
      </c>
      <c r="K1137" s="909">
        <v>1</v>
      </c>
      <c r="L1137" s="909">
        <v>12</v>
      </c>
      <c r="M1137" s="907">
        <v>61867.47</v>
      </c>
      <c r="N1137" s="908">
        <v>1</v>
      </c>
      <c r="O1137" s="908">
        <v>6</v>
      </c>
      <c r="P1137" s="907">
        <v>34044.9</v>
      </c>
      <c r="R1137" s="890"/>
    </row>
    <row r="1138" spans="1:18" s="276" customFormat="1" ht="24">
      <c r="A1138" s="908" t="s">
        <v>3199</v>
      </c>
      <c r="B1138" s="908" t="s">
        <v>1402</v>
      </c>
      <c r="C1138" s="908" t="s">
        <v>96</v>
      </c>
      <c r="D1138" s="910" t="s">
        <v>3700</v>
      </c>
      <c r="E1138" s="907">
        <v>4500</v>
      </c>
      <c r="F1138" s="908" t="s">
        <v>3703</v>
      </c>
      <c r="G1138" s="910" t="s">
        <v>3704</v>
      </c>
      <c r="H1138" s="911" t="s">
        <v>3657</v>
      </c>
      <c r="I1138" s="911" t="s">
        <v>2863</v>
      </c>
      <c r="J1138" s="910" t="s">
        <v>3657</v>
      </c>
      <c r="K1138" s="909">
        <v>1</v>
      </c>
      <c r="L1138" s="909">
        <v>12</v>
      </c>
      <c r="M1138" s="907">
        <v>57760.800000000003</v>
      </c>
      <c r="N1138" s="908">
        <v>1</v>
      </c>
      <c r="O1138" s="908">
        <v>6</v>
      </c>
      <c r="P1138" s="907">
        <v>28044.9</v>
      </c>
      <c r="R1138" s="890"/>
    </row>
    <row r="1139" spans="1:18" s="276" customFormat="1" ht="24">
      <c r="A1139" s="908" t="s">
        <v>3199</v>
      </c>
      <c r="B1139" s="908" t="s">
        <v>1402</v>
      </c>
      <c r="C1139" s="908" t="s">
        <v>96</v>
      </c>
      <c r="D1139" s="910" t="s">
        <v>3700</v>
      </c>
      <c r="E1139" s="907">
        <v>3500</v>
      </c>
      <c r="F1139" s="908" t="s">
        <v>3705</v>
      </c>
      <c r="G1139" s="910" t="s">
        <v>3706</v>
      </c>
      <c r="H1139" s="911" t="s">
        <v>3707</v>
      </c>
      <c r="I1139" s="911" t="s">
        <v>2863</v>
      </c>
      <c r="J1139" s="910" t="s">
        <v>3707</v>
      </c>
      <c r="K1139" s="909">
        <v>1</v>
      </c>
      <c r="L1139" s="909">
        <v>12</v>
      </c>
      <c r="M1139" s="907">
        <v>44260.800000000003</v>
      </c>
      <c r="N1139" s="908">
        <v>1</v>
      </c>
      <c r="O1139" s="908">
        <v>6</v>
      </c>
      <c r="P1139" s="907">
        <v>22044.9</v>
      </c>
      <c r="R1139" s="890"/>
    </row>
    <row r="1140" spans="1:18" s="276" customFormat="1" ht="24">
      <c r="A1140" s="908" t="s">
        <v>3199</v>
      </c>
      <c r="B1140" s="908" t="s">
        <v>1402</v>
      </c>
      <c r="C1140" s="908" t="s">
        <v>96</v>
      </c>
      <c r="D1140" s="910" t="s">
        <v>3700</v>
      </c>
      <c r="E1140" s="907">
        <v>2000</v>
      </c>
      <c r="F1140" s="908" t="s">
        <v>3708</v>
      </c>
      <c r="G1140" s="910" t="s">
        <v>3709</v>
      </c>
      <c r="H1140" s="911" t="s">
        <v>3255</v>
      </c>
      <c r="I1140" s="911" t="s">
        <v>1407</v>
      </c>
      <c r="J1140" s="910" t="s">
        <v>3255</v>
      </c>
      <c r="K1140" s="909">
        <v>1</v>
      </c>
      <c r="L1140" s="909">
        <v>12</v>
      </c>
      <c r="M1140" s="907">
        <v>29757.469999999998</v>
      </c>
      <c r="N1140" s="908">
        <v>1</v>
      </c>
      <c r="O1140" s="908">
        <v>6</v>
      </c>
      <c r="P1140" s="907">
        <v>13044.9</v>
      </c>
      <c r="R1140" s="890"/>
    </row>
    <row r="1141" spans="1:18" s="276" customFormat="1" ht="24">
      <c r="A1141" s="908" t="s">
        <v>3199</v>
      </c>
      <c r="B1141" s="908" t="s">
        <v>1402</v>
      </c>
      <c r="C1141" s="908" t="s">
        <v>96</v>
      </c>
      <c r="D1141" s="910" t="s">
        <v>3700</v>
      </c>
      <c r="E1141" s="907">
        <v>2500</v>
      </c>
      <c r="F1141" s="908" t="s">
        <v>3710</v>
      </c>
      <c r="G1141" s="910" t="s">
        <v>3711</v>
      </c>
      <c r="H1141" s="911" t="s">
        <v>3599</v>
      </c>
      <c r="I1141" s="911" t="s">
        <v>1420</v>
      </c>
      <c r="J1141" s="910" t="s">
        <v>3599</v>
      </c>
      <c r="K1141" s="909">
        <v>1</v>
      </c>
      <c r="L1141" s="909">
        <v>12</v>
      </c>
      <c r="M1141" s="907">
        <v>32254.139999999996</v>
      </c>
      <c r="N1141" s="908">
        <v>1</v>
      </c>
      <c r="O1141" s="908">
        <v>6</v>
      </c>
      <c r="P1141" s="907">
        <v>16044.9</v>
      </c>
      <c r="R1141" s="890"/>
    </row>
    <row r="1142" spans="1:18" s="276" customFormat="1" ht="24">
      <c r="A1142" s="908" t="s">
        <v>3199</v>
      </c>
      <c r="B1142" s="908" t="s">
        <v>1402</v>
      </c>
      <c r="C1142" s="908" t="s">
        <v>96</v>
      </c>
      <c r="D1142" s="910" t="s">
        <v>3700</v>
      </c>
      <c r="E1142" s="907">
        <v>2500</v>
      </c>
      <c r="F1142" s="908" t="s">
        <v>3712</v>
      </c>
      <c r="G1142" s="910" t="s">
        <v>3713</v>
      </c>
      <c r="H1142" s="911" t="s">
        <v>1748</v>
      </c>
      <c r="I1142" s="911" t="s">
        <v>1420</v>
      </c>
      <c r="J1142" s="910" t="s">
        <v>1748</v>
      </c>
      <c r="K1142" s="909">
        <v>1</v>
      </c>
      <c r="L1142" s="909">
        <v>12</v>
      </c>
      <c r="M1142" s="907">
        <v>32254.139999999996</v>
      </c>
      <c r="N1142" s="908">
        <v>1</v>
      </c>
      <c r="O1142" s="908">
        <v>6</v>
      </c>
      <c r="P1142" s="907">
        <v>16044.9</v>
      </c>
      <c r="R1142" s="890"/>
    </row>
    <row r="1143" spans="1:18" s="276" customFormat="1" ht="24">
      <c r="A1143" s="908" t="s">
        <v>3199</v>
      </c>
      <c r="B1143" s="908" t="s">
        <v>1402</v>
      </c>
      <c r="C1143" s="908" t="s">
        <v>96</v>
      </c>
      <c r="D1143" s="910" t="s">
        <v>3700</v>
      </c>
      <c r="E1143" s="907">
        <v>3500</v>
      </c>
      <c r="F1143" s="908" t="s">
        <v>3714</v>
      </c>
      <c r="G1143" s="910" t="s">
        <v>3715</v>
      </c>
      <c r="H1143" s="911" t="s">
        <v>3285</v>
      </c>
      <c r="I1143" s="911" t="s">
        <v>1407</v>
      </c>
      <c r="J1143" s="910" t="s">
        <v>3285</v>
      </c>
      <c r="K1143" s="909">
        <v>1</v>
      </c>
      <c r="L1143" s="909">
        <v>12</v>
      </c>
      <c r="M1143" s="907">
        <v>44060.800000000003</v>
      </c>
      <c r="N1143" s="908">
        <v>1</v>
      </c>
      <c r="O1143" s="908">
        <v>6</v>
      </c>
      <c r="P1143" s="907">
        <v>22044.9</v>
      </c>
      <c r="R1143" s="890"/>
    </row>
    <row r="1144" spans="1:18" s="276" customFormat="1" ht="24">
      <c r="A1144" s="908" t="s">
        <v>3199</v>
      </c>
      <c r="B1144" s="908" t="s">
        <v>1402</v>
      </c>
      <c r="C1144" s="908" t="s">
        <v>96</v>
      </c>
      <c r="D1144" s="910" t="s">
        <v>3700</v>
      </c>
      <c r="E1144" s="907">
        <v>5500</v>
      </c>
      <c r="F1144" s="908" t="s">
        <v>3716</v>
      </c>
      <c r="G1144" s="910" t="s">
        <v>3717</v>
      </c>
      <c r="H1144" s="911" t="s">
        <v>2750</v>
      </c>
      <c r="I1144" s="911" t="s">
        <v>2863</v>
      </c>
      <c r="J1144" s="910" t="s">
        <v>2750</v>
      </c>
      <c r="K1144" s="909">
        <v>1</v>
      </c>
      <c r="L1144" s="909">
        <v>12</v>
      </c>
      <c r="M1144" s="907">
        <v>61867.47</v>
      </c>
      <c r="N1144" s="908">
        <v>1</v>
      </c>
      <c r="O1144" s="908">
        <v>6</v>
      </c>
      <c r="P1144" s="907">
        <v>34044.9</v>
      </c>
      <c r="R1144" s="890"/>
    </row>
    <row r="1145" spans="1:18" s="276" customFormat="1" ht="24">
      <c r="A1145" s="908" t="s">
        <v>3199</v>
      </c>
      <c r="B1145" s="908" t="s">
        <v>1402</v>
      </c>
      <c r="C1145" s="908" t="s">
        <v>96</v>
      </c>
      <c r="D1145" s="910" t="s">
        <v>3700</v>
      </c>
      <c r="E1145" s="907">
        <v>2500</v>
      </c>
      <c r="F1145" s="908" t="s">
        <v>3718</v>
      </c>
      <c r="G1145" s="910" t="s">
        <v>3719</v>
      </c>
      <c r="H1145" s="911" t="s">
        <v>2750</v>
      </c>
      <c r="I1145" s="911" t="s">
        <v>2863</v>
      </c>
      <c r="J1145" s="910" t="s">
        <v>2750</v>
      </c>
      <c r="K1145" s="909">
        <v>1</v>
      </c>
      <c r="L1145" s="909">
        <v>12</v>
      </c>
      <c r="M1145" s="907">
        <v>32257.469999999998</v>
      </c>
      <c r="N1145" s="908">
        <v>1</v>
      </c>
      <c r="O1145" s="908">
        <v>6</v>
      </c>
      <c r="P1145" s="907">
        <v>16044.9</v>
      </c>
      <c r="R1145" s="890"/>
    </row>
    <row r="1146" spans="1:18" s="276" customFormat="1" ht="24">
      <c r="A1146" s="908" t="s">
        <v>3199</v>
      </c>
      <c r="B1146" s="908" t="s">
        <v>1402</v>
      </c>
      <c r="C1146" s="908" t="s">
        <v>96</v>
      </c>
      <c r="D1146" s="910" t="s">
        <v>3700</v>
      </c>
      <c r="E1146" s="907">
        <v>4000</v>
      </c>
      <c r="F1146" s="908" t="s">
        <v>3720</v>
      </c>
      <c r="G1146" s="910" t="s">
        <v>3721</v>
      </c>
      <c r="H1146" s="911" t="s">
        <v>3707</v>
      </c>
      <c r="I1146" s="911" t="s">
        <v>2863</v>
      </c>
      <c r="J1146" s="910" t="s">
        <v>3707</v>
      </c>
      <c r="K1146" s="909">
        <v>1</v>
      </c>
      <c r="L1146" s="909">
        <v>12</v>
      </c>
      <c r="M1146" s="907">
        <v>46627.47</v>
      </c>
      <c r="N1146" s="908">
        <v>1</v>
      </c>
      <c r="O1146" s="908">
        <v>6</v>
      </c>
      <c r="P1146" s="907">
        <v>25044.9</v>
      </c>
      <c r="R1146" s="890"/>
    </row>
    <row r="1147" spans="1:18" s="276" customFormat="1" ht="24">
      <c r="A1147" s="908" t="s">
        <v>3199</v>
      </c>
      <c r="B1147" s="908" t="s">
        <v>1402</v>
      </c>
      <c r="C1147" s="908" t="s">
        <v>96</v>
      </c>
      <c r="D1147" s="910" t="s">
        <v>3700</v>
      </c>
      <c r="E1147" s="907">
        <v>3000</v>
      </c>
      <c r="F1147" s="908" t="s">
        <v>3722</v>
      </c>
      <c r="G1147" s="910" t="s">
        <v>3723</v>
      </c>
      <c r="H1147" s="911" t="s">
        <v>3285</v>
      </c>
      <c r="I1147" s="911" t="s">
        <v>1407</v>
      </c>
      <c r="J1147" s="910" t="s">
        <v>3285</v>
      </c>
      <c r="K1147" s="909">
        <v>1</v>
      </c>
      <c r="L1147" s="909">
        <v>12</v>
      </c>
      <c r="M1147" s="907">
        <v>38247.460000000006</v>
      </c>
      <c r="N1147" s="908">
        <v>1</v>
      </c>
      <c r="O1147" s="908">
        <v>6</v>
      </c>
      <c r="P1147" s="907">
        <v>19044.900000000001</v>
      </c>
      <c r="R1147" s="890"/>
    </row>
    <row r="1148" spans="1:18" s="276" customFormat="1" ht="24">
      <c r="A1148" s="908" t="s">
        <v>3199</v>
      </c>
      <c r="B1148" s="908" t="s">
        <v>1402</v>
      </c>
      <c r="C1148" s="908" t="s">
        <v>96</v>
      </c>
      <c r="D1148" s="910" t="s">
        <v>3700</v>
      </c>
      <c r="E1148" s="907">
        <v>5000</v>
      </c>
      <c r="F1148" s="908" t="s">
        <v>3724</v>
      </c>
      <c r="G1148" s="910" t="s">
        <v>3725</v>
      </c>
      <c r="H1148" s="911" t="s">
        <v>3726</v>
      </c>
      <c r="I1148" s="911" t="s">
        <v>1407</v>
      </c>
      <c r="J1148" s="910" t="s">
        <v>3726</v>
      </c>
      <c r="K1148" s="909">
        <v>1</v>
      </c>
      <c r="L1148" s="909">
        <v>12</v>
      </c>
      <c r="M1148" s="907">
        <v>57477.47</v>
      </c>
      <c r="N1148" s="908">
        <v>1</v>
      </c>
      <c r="O1148" s="908">
        <v>6</v>
      </c>
      <c r="P1148" s="907">
        <v>31044.9</v>
      </c>
      <c r="R1148" s="890"/>
    </row>
    <row r="1149" spans="1:18" s="276" customFormat="1" ht="24">
      <c r="A1149" s="908" t="s">
        <v>3199</v>
      </c>
      <c r="B1149" s="908" t="s">
        <v>1402</v>
      </c>
      <c r="C1149" s="908" t="s">
        <v>96</v>
      </c>
      <c r="D1149" s="910" t="s">
        <v>3700</v>
      </c>
      <c r="E1149" s="907">
        <v>2500</v>
      </c>
      <c r="F1149" s="908" t="s">
        <v>3727</v>
      </c>
      <c r="G1149" s="910" t="s">
        <v>3728</v>
      </c>
      <c r="H1149" s="911" t="s">
        <v>3226</v>
      </c>
      <c r="I1149" s="911" t="s">
        <v>2863</v>
      </c>
      <c r="J1149" s="910" t="s">
        <v>2750</v>
      </c>
      <c r="K1149" s="909">
        <v>1</v>
      </c>
      <c r="L1149" s="909">
        <v>12</v>
      </c>
      <c r="M1149" s="907">
        <v>35260.800000000003</v>
      </c>
      <c r="N1149" s="908">
        <v>1</v>
      </c>
      <c r="O1149" s="908">
        <v>6</v>
      </c>
      <c r="P1149" s="907">
        <v>16044.9</v>
      </c>
      <c r="R1149" s="890"/>
    </row>
    <row r="1150" spans="1:18" s="276" customFormat="1" ht="15.95" customHeight="1">
      <c r="A1150" s="908" t="s">
        <v>3199</v>
      </c>
      <c r="B1150" s="908" t="s">
        <v>1402</v>
      </c>
      <c r="C1150" s="908" t="s">
        <v>96</v>
      </c>
      <c r="D1150" s="910" t="s">
        <v>3729</v>
      </c>
      <c r="E1150" s="907">
        <v>6000</v>
      </c>
      <c r="F1150" s="908" t="s">
        <v>3730</v>
      </c>
      <c r="G1150" s="910" t="s">
        <v>3731</v>
      </c>
      <c r="H1150" s="911" t="s">
        <v>2743</v>
      </c>
      <c r="I1150" s="911" t="s">
        <v>2863</v>
      </c>
      <c r="J1150" s="910" t="s">
        <v>2743</v>
      </c>
      <c r="K1150" s="909">
        <v>1</v>
      </c>
      <c r="L1150" s="909">
        <v>12</v>
      </c>
      <c r="M1150" s="907">
        <v>74260.800000000003</v>
      </c>
      <c r="N1150" s="908">
        <v>1</v>
      </c>
      <c r="O1150" s="908">
        <v>6</v>
      </c>
      <c r="P1150" s="907">
        <v>37044.9</v>
      </c>
      <c r="R1150" s="890"/>
    </row>
    <row r="1151" spans="1:18" s="276" customFormat="1" ht="15.95" customHeight="1">
      <c r="A1151" s="908" t="s">
        <v>3199</v>
      </c>
      <c r="B1151" s="908" t="s">
        <v>1402</v>
      </c>
      <c r="C1151" s="908" t="s">
        <v>96</v>
      </c>
      <c r="D1151" s="910" t="s">
        <v>3729</v>
      </c>
      <c r="E1151" s="907">
        <v>2500</v>
      </c>
      <c r="F1151" s="908" t="s">
        <v>3732</v>
      </c>
      <c r="G1151" s="910" t="s">
        <v>3733</v>
      </c>
      <c r="H1151" s="911" t="s">
        <v>2750</v>
      </c>
      <c r="I1151" s="911" t="s">
        <v>2863</v>
      </c>
      <c r="J1151" s="910" t="s">
        <v>2750</v>
      </c>
      <c r="K1151" s="909">
        <v>1</v>
      </c>
      <c r="L1151" s="909">
        <v>12</v>
      </c>
      <c r="M1151" s="907">
        <v>34760.800000000003</v>
      </c>
      <c r="N1151" s="908">
        <v>1</v>
      </c>
      <c r="O1151" s="908">
        <v>6</v>
      </c>
      <c r="P1151" s="907">
        <v>16044.9</v>
      </c>
      <c r="R1151" s="890"/>
    </row>
    <row r="1152" spans="1:18" s="276" customFormat="1" ht="15.95" customHeight="1">
      <c r="A1152" s="908" t="s">
        <v>3199</v>
      </c>
      <c r="B1152" s="908" t="s">
        <v>1402</v>
      </c>
      <c r="C1152" s="908" t="s">
        <v>96</v>
      </c>
      <c r="D1152" s="910" t="s">
        <v>3729</v>
      </c>
      <c r="E1152" s="907">
        <v>6000</v>
      </c>
      <c r="F1152" s="908" t="s">
        <v>3734</v>
      </c>
      <c r="G1152" s="910" t="s">
        <v>3735</v>
      </c>
      <c r="H1152" s="911" t="s">
        <v>2743</v>
      </c>
      <c r="I1152" s="911" t="s">
        <v>2863</v>
      </c>
      <c r="J1152" s="910" t="s">
        <v>2743</v>
      </c>
      <c r="K1152" s="909">
        <v>1</v>
      </c>
      <c r="L1152" s="909">
        <v>12</v>
      </c>
      <c r="M1152" s="907">
        <v>66494.13</v>
      </c>
      <c r="N1152" s="908">
        <v>1</v>
      </c>
      <c r="O1152" s="908">
        <v>6</v>
      </c>
      <c r="P1152" s="907">
        <v>37044.9</v>
      </c>
      <c r="R1152" s="890"/>
    </row>
    <row r="1153" spans="1:18" s="276" customFormat="1" ht="15.95" customHeight="1">
      <c r="A1153" s="908" t="s">
        <v>3199</v>
      </c>
      <c r="B1153" s="908" t="s">
        <v>1402</v>
      </c>
      <c r="C1153" s="908" t="s">
        <v>96</v>
      </c>
      <c r="D1153" s="910" t="s">
        <v>3729</v>
      </c>
      <c r="E1153" s="907">
        <v>8500</v>
      </c>
      <c r="F1153" s="908" t="s">
        <v>3736</v>
      </c>
      <c r="G1153" s="910" t="s">
        <v>3737</v>
      </c>
      <c r="H1153" s="911" t="s">
        <v>2743</v>
      </c>
      <c r="I1153" s="911" t="s">
        <v>2863</v>
      </c>
      <c r="J1153" s="910" t="s">
        <v>2743</v>
      </c>
      <c r="K1153" s="909">
        <v>1</v>
      </c>
      <c r="L1153" s="909">
        <v>12</v>
      </c>
      <c r="M1153" s="907">
        <v>92127.47</v>
      </c>
      <c r="N1153" s="908">
        <v>1</v>
      </c>
      <c r="O1153" s="908">
        <v>6</v>
      </c>
      <c r="P1153" s="907">
        <v>52044.9</v>
      </c>
      <c r="R1153" s="890"/>
    </row>
    <row r="1154" spans="1:18" s="276" customFormat="1" ht="15.95" customHeight="1">
      <c r="A1154" s="908" t="s">
        <v>3199</v>
      </c>
      <c r="B1154" s="908" t="s">
        <v>1402</v>
      </c>
      <c r="C1154" s="908" t="s">
        <v>96</v>
      </c>
      <c r="D1154" s="910" t="s">
        <v>3729</v>
      </c>
      <c r="E1154" s="907">
        <v>3000</v>
      </c>
      <c r="F1154" s="908" t="s">
        <v>3738</v>
      </c>
      <c r="G1154" s="910" t="s">
        <v>3739</v>
      </c>
      <c r="H1154" s="911" t="s">
        <v>3599</v>
      </c>
      <c r="I1154" s="911" t="s">
        <v>2863</v>
      </c>
      <c r="J1154" s="910" t="s">
        <v>3599</v>
      </c>
      <c r="K1154" s="909">
        <v>1</v>
      </c>
      <c r="L1154" s="909">
        <v>7</v>
      </c>
      <c r="M1154" s="907">
        <v>24893.8</v>
      </c>
      <c r="N1154" s="908"/>
      <c r="O1154" s="908"/>
      <c r="P1154" s="907"/>
      <c r="R1154" s="890"/>
    </row>
    <row r="1155" spans="1:18" s="276" customFormat="1" ht="15.95" customHeight="1">
      <c r="A1155" s="908" t="s">
        <v>3199</v>
      </c>
      <c r="B1155" s="908" t="s">
        <v>1402</v>
      </c>
      <c r="C1155" s="908" t="s">
        <v>96</v>
      </c>
      <c r="D1155" s="910" t="s">
        <v>3729</v>
      </c>
      <c r="E1155" s="907">
        <v>2800</v>
      </c>
      <c r="F1155" s="908" t="s">
        <v>3740</v>
      </c>
      <c r="G1155" s="910" t="s">
        <v>3741</v>
      </c>
      <c r="H1155" s="911" t="s">
        <v>3599</v>
      </c>
      <c r="I1155" s="911" t="s">
        <v>2863</v>
      </c>
      <c r="J1155" s="910" t="s">
        <v>3599</v>
      </c>
      <c r="K1155" s="909">
        <v>1</v>
      </c>
      <c r="L1155" s="909">
        <v>12</v>
      </c>
      <c r="M1155" s="907">
        <v>35860.800000000003</v>
      </c>
      <c r="N1155" s="908">
        <v>1</v>
      </c>
      <c r="O1155" s="908">
        <v>6</v>
      </c>
      <c r="P1155" s="907">
        <v>17844.900000000001</v>
      </c>
      <c r="R1155" s="890"/>
    </row>
    <row r="1156" spans="1:18" s="276" customFormat="1" ht="15.95" customHeight="1">
      <c r="A1156" s="908" t="s">
        <v>3199</v>
      </c>
      <c r="B1156" s="908" t="s">
        <v>1402</v>
      </c>
      <c r="C1156" s="908" t="s">
        <v>96</v>
      </c>
      <c r="D1156" s="910" t="s">
        <v>3729</v>
      </c>
      <c r="E1156" s="907">
        <v>6000</v>
      </c>
      <c r="F1156" s="908" t="s">
        <v>3742</v>
      </c>
      <c r="G1156" s="910" t="s">
        <v>3743</v>
      </c>
      <c r="H1156" s="911" t="s">
        <v>3657</v>
      </c>
      <c r="I1156" s="911" t="s">
        <v>2863</v>
      </c>
      <c r="J1156" s="910" t="s">
        <v>3657</v>
      </c>
      <c r="K1156" s="909">
        <v>1</v>
      </c>
      <c r="L1156" s="909">
        <v>2</v>
      </c>
      <c r="M1156" s="907">
        <v>11426.8</v>
      </c>
      <c r="N1156" s="908">
        <v>1</v>
      </c>
      <c r="O1156" s="908">
        <v>6</v>
      </c>
      <c r="P1156" s="907">
        <v>37044.9</v>
      </c>
      <c r="R1156" s="890"/>
    </row>
    <row r="1157" spans="1:18" s="276" customFormat="1" ht="15.95" customHeight="1">
      <c r="A1157" s="908" t="s">
        <v>3199</v>
      </c>
      <c r="B1157" s="908" t="s">
        <v>1402</v>
      </c>
      <c r="C1157" s="908" t="s">
        <v>96</v>
      </c>
      <c r="D1157" s="910" t="s">
        <v>3729</v>
      </c>
      <c r="E1157" s="907">
        <v>2500</v>
      </c>
      <c r="F1157" s="908" t="s">
        <v>3744</v>
      </c>
      <c r="G1157" s="910" t="s">
        <v>3745</v>
      </c>
      <c r="H1157" s="911" t="s">
        <v>2953</v>
      </c>
      <c r="I1157" s="911" t="s">
        <v>2863</v>
      </c>
      <c r="J1157" s="910" t="s">
        <v>2953</v>
      </c>
      <c r="K1157" s="909">
        <v>1</v>
      </c>
      <c r="L1157" s="909">
        <v>12</v>
      </c>
      <c r="M1157" s="907">
        <v>34260.800000000003</v>
      </c>
      <c r="N1157" s="908">
        <v>1</v>
      </c>
      <c r="O1157" s="908">
        <v>6</v>
      </c>
      <c r="P1157" s="907">
        <v>16044.9</v>
      </c>
      <c r="R1157" s="890"/>
    </row>
    <row r="1158" spans="1:18" s="276" customFormat="1" ht="15.95" customHeight="1">
      <c r="A1158" s="908" t="s">
        <v>3199</v>
      </c>
      <c r="B1158" s="908" t="s">
        <v>1402</v>
      </c>
      <c r="C1158" s="908" t="s">
        <v>96</v>
      </c>
      <c r="D1158" s="910" t="s">
        <v>3729</v>
      </c>
      <c r="E1158" s="907">
        <v>2580</v>
      </c>
      <c r="F1158" s="908" t="s">
        <v>3746</v>
      </c>
      <c r="G1158" s="910" t="s">
        <v>3747</v>
      </c>
      <c r="H1158" s="911" t="s">
        <v>2953</v>
      </c>
      <c r="I1158" s="911" t="s">
        <v>2863</v>
      </c>
      <c r="J1158" s="910" t="s">
        <v>2953</v>
      </c>
      <c r="K1158" s="909">
        <v>1</v>
      </c>
      <c r="L1158" s="909">
        <v>12</v>
      </c>
      <c r="M1158" s="907">
        <v>33220.800000000003</v>
      </c>
      <c r="N1158" s="908">
        <v>1</v>
      </c>
      <c r="O1158" s="908">
        <v>6</v>
      </c>
      <c r="P1158" s="907">
        <v>16524.900000000001</v>
      </c>
      <c r="R1158" s="890"/>
    </row>
    <row r="1159" spans="1:18" s="276" customFormat="1" ht="15.95" customHeight="1">
      <c r="A1159" s="908" t="s">
        <v>3199</v>
      </c>
      <c r="B1159" s="908" t="s">
        <v>1402</v>
      </c>
      <c r="C1159" s="908" t="s">
        <v>96</v>
      </c>
      <c r="D1159" s="910" t="s">
        <v>3729</v>
      </c>
      <c r="E1159" s="907">
        <v>7000</v>
      </c>
      <c r="F1159" s="908" t="s">
        <v>3748</v>
      </c>
      <c r="G1159" s="910" t="s">
        <v>3749</v>
      </c>
      <c r="H1159" s="911" t="s">
        <v>2743</v>
      </c>
      <c r="I1159" s="911" t="s">
        <v>2863</v>
      </c>
      <c r="J1159" s="910" t="s">
        <v>2743</v>
      </c>
      <c r="K1159" s="909">
        <v>1</v>
      </c>
      <c r="L1159" s="909">
        <v>12</v>
      </c>
      <c r="M1159" s="907">
        <v>86310.8</v>
      </c>
      <c r="N1159" s="908">
        <v>1</v>
      </c>
      <c r="O1159" s="908">
        <v>6</v>
      </c>
      <c r="P1159" s="907">
        <v>43044.9</v>
      </c>
      <c r="R1159" s="890"/>
    </row>
    <row r="1160" spans="1:18" s="276" customFormat="1" ht="15.95" customHeight="1">
      <c r="A1160" s="908" t="s">
        <v>3199</v>
      </c>
      <c r="B1160" s="908" t="s">
        <v>1402</v>
      </c>
      <c r="C1160" s="908" t="s">
        <v>96</v>
      </c>
      <c r="D1160" s="910" t="s">
        <v>3729</v>
      </c>
      <c r="E1160" s="907">
        <v>7000</v>
      </c>
      <c r="F1160" s="908" t="s">
        <v>3750</v>
      </c>
      <c r="G1160" s="910" t="s">
        <v>3751</v>
      </c>
      <c r="H1160" s="911" t="s">
        <v>2883</v>
      </c>
      <c r="I1160" s="911" t="s">
        <v>2863</v>
      </c>
      <c r="J1160" s="910" t="s">
        <v>2883</v>
      </c>
      <c r="K1160" s="909">
        <v>1</v>
      </c>
      <c r="L1160" s="909">
        <v>12</v>
      </c>
      <c r="M1160" s="907">
        <v>84754.14</v>
      </c>
      <c r="N1160" s="908">
        <v>1</v>
      </c>
      <c r="O1160" s="908">
        <v>6</v>
      </c>
      <c r="P1160" s="907">
        <v>43044.9</v>
      </c>
      <c r="R1160" s="890"/>
    </row>
    <row r="1161" spans="1:18" s="276" customFormat="1" ht="15.95" customHeight="1">
      <c r="A1161" s="908" t="s">
        <v>3199</v>
      </c>
      <c r="B1161" s="908" t="s">
        <v>1402</v>
      </c>
      <c r="C1161" s="908" t="s">
        <v>96</v>
      </c>
      <c r="D1161" s="910" t="s">
        <v>3729</v>
      </c>
      <c r="E1161" s="907">
        <v>2500</v>
      </c>
      <c r="F1161" s="908" t="s">
        <v>3752</v>
      </c>
      <c r="G1161" s="910" t="s">
        <v>3753</v>
      </c>
      <c r="H1161" s="911" t="s">
        <v>3285</v>
      </c>
      <c r="I1161" s="911" t="s">
        <v>2863</v>
      </c>
      <c r="J1161" s="910" t="s">
        <v>3285</v>
      </c>
      <c r="K1161" s="909">
        <v>1</v>
      </c>
      <c r="L1161" s="909">
        <v>12</v>
      </c>
      <c r="M1161" s="907">
        <v>32260.799999999999</v>
      </c>
      <c r="N1161" s="908">
        <v>1</v>
      </c>
      <c r="O1161" s="908">
        <v>6</v>
      </c>
      <c r="P1161" s="907">
        <v>16044.9</v>
      </c>
      <c r="R1161" s="890"/>
    </row>
    <row r="1162" spans="1:18" s="276" customFormat="1" ht="15.95" customHeight="1">
      <c r="A1162" s="908" t="s">
        <v>3199</v>
      </c>
      <c r="B1162" s="908" t="s">
        <v>1402</v>
      </c>
      <c r="C1162" s="908" t="s">
        <v>96</v>
      </c>
      <c r="D1162" s="910" t="s">
        <v>3729</v>
      </c>
      <c r="E1162" s="907">
        <v>2500</v>
      </c>
      <c r="F1162" s="908" t="s">
        <v>3754</v>
      </c>
      <c r="G1162" s="910" t="s">
        <v>3755</v>
      </c>
      <c r="H1162" s="911" t="s">
        <v>2750</v>
      </c>
      <c r="I1162" s="911" t="s">
        <v>2863</v>
      </c>
      <c r="J1162" s="910" t="s">
        <v>2750</v>
      </c>
      <c r="K1162" s="909">
        <v>1</v>
      </c>
      <c r="L1162" s="909">
        <v>12</v>
      </c>
      <c r="M1162" s="907">
        <v>54021.8</v>
      </c>
      <c r="N1162" s="908">
        <v>1</v>
      </c>
      <c r="O1162" s="908">
        <v>6</v>
      </c>
      <c r="P1162" s="907">
        <v>16044.9</v>
      </c>
      <c r="R1162" s="890"/>
    </row>
    <row r="1163" spans="1:18" s="276" customFormat="1" ht="15.95" customHeight="1">
      <c r="A1163" s="908" t="s">
        <v>3199</v>
      </c>
      <c r="B1163" s="908" t="s">
        <v>1402</v>
      </c>
      <c r="C1163" s="908" t="s">
        <v>96</v>
      </c>
      <c r="D1163" s="910" t="s">
        <v>3729</v>
      </c>
      <c r="E1163" s="907">
        <v>4000</v>
      </c>
      <c r="F1163" s="908" t="s">
        <v>3756</v>
      </c>
      <c r="G1163" s="910" t="s">
        <v>3757</v>
      </c>
      <c r="H1163" s="911" t="s">
        <v>3285</v>
      </c>
      <c r="I1163" s="911" t="s">
        <v>2863</v>
      </c>
      <c r="J1163" s="910" t="s">
        <v>3285</v>
      </c>
      <c r="K1163" s="909">
        <v>1</v>
      </c>
      <c r="L1163" s="909">
        <v>12</v>
      </c>
      <c r="M1163" s="907">
        <v>48440.800000000003</v>
      </c>
      <c r="N1163" s="908">
        <v>1</v>
      </c>
      <c r="O1163" s="908">
        <v>6</v>
      </c>
      <c r="P1163" s="907">
        <v>25044.9</v>
      </c>
      <c r="R1163" s="890"/>
    </row>
    <row r="1164" spans="1:18" s="276" customFormat="1" ht="15.95" customHeight="1">
      <c r="A1164" s="908" t="s">
        <v>3199</v>
      </c>
      <c r="B1164" s="908" t="s">
        <v>1402</v>
      </c>
      <c r="C1164" s="908" t="s">
        <v>96</v>
      </c>
      <c r="D1164" s="910" t="s">
        <v>3729</v>
      </c>
      <c r="E1164" s="907">
        <v>2800</v>
      </c>
      <c r="F1164" s="908" t="s">
        <v>3758</v>
      </c>
      <c r="G1164" s="910" t="s">
        <v>3759</v>
      </c>
      <c r="H1164" s="911" t="s">
        <v>3760</v>
      </c>
      <c r="I1164" s="911" t="s">
        <v>2863</v>
      </c>
      <c r="J1164" s="910" t="s">
        <v>3760</v>
      </c>
      <c r="K1164" s="909">
        <v>1</v>
      </c>
      <c r="L1164" s="909">
        <v>12</v>
      </c>
      <c r="M1164" s="907">
        <v>35860.800000000003</v>
      </c>
      <c r="N1164" s="908">
        <v>1</v>
      </c>
      <c r="O1164" s="908">
        <v>6</v>
      </c>
      <c r="P1164" s="907">
        <v>17844.900000000001</v>
      </c>
      <c r="R1164" s="890"/>
    </row>
    <row r="1165" spans="1:18" s="276" customFormat="1" ht="15.95" customHeight="1">
      <c r="A1165" s="908" t="s">
        <v>3199</v>
      </c>
      <c r="B1165" s="908" t="s">
        <v>1402</v>
      </c>
      <c r="C1165" s="908" t="s">
        <v>96</v>
      </c>
      <c r="D1165" s="910" t="s">
        <v>3729</v>
      </c>
      <c r="E1165" s="907">
        <v>2300</v>
      </c>
      <c r="F1165" s="908" t="s">
        <v>3761</v>
      </c>
      <c r="G1165" s="910" t="s">
        <v>3762</v>
      </c>
      <c r="H1165" s="911" t="s">
        <v>2953</v>
      </c>
      <c r="I1165" s="911" t="s">
        <v>2863</v>
      </c>
      <c r="J1165" s="910" t="s">
        <v>2953</v>
      </c>
      <c r="K1165" s="909">
        <v>1</v>
      </c>
      <c r="L1165" s="909">
        <v>12</v>
      </c>
      <c r="M1165" s="907">
        <v>33060.800000000003</v>
      </c>
      <c r="N1165" s="908">
        <v>1</v>
      </c>
      <c r="O1165" s="908">
        <v>6</v>
      </c>
      <c r="P1165" s="907">
        <v>14844.9</v>
      </c>
      <c r="R1165" s="890"/>
    </row>
    <row r="1166" spans="1:18" s="276" customFormat="1" ht="15.95" customHeight="1">
      <c r="A1166" s="908" t="s">
        <v>3199</v>
      </c>
      <c r="B1166" s="908" t="s">
        <v>1402</v>
      </c>
      <c r="C1166" s="908" t="s">
        <v>96</v>
      </c>
      <c r="D1166" s="910" t="s">
        <v>3729</v>
      </c>
      <c r="E1166" s="907">
        <v>2700</v>
      </c>
      <c r="F1166" s="908" t="s">
        <v>3763</v>
      </c>
      <c r="G1166" s="910" t="s">
        <v>3764</v>
      </c>
      <c r="H1166" s="911" t="s">
        <v>1407</v>
      </c>
      <c r="I1166" s="911" t="s">
        <v>1407</v>
      </c>
      <c r="J1166" s="910" t="s">
        <v>3255</v>
      </c>
      <c r="K1166" s="909">
        <v>1</v>
      </c>
      <c r="L1166" s="909">
        <v>12</v>
      </c>
      <c r="M1166" s="907">
        <v>34660.800000000003</v>
      </c>
      <c r="N1166" s="908">
        <v>1</v>
      </c>
      <c r="O1166" s="908">
        <v>6</v>
      </c>
      <c r="P1166" s="907">
        <v>17244.900000000001</v>
      </c>
      <c r="R1166" s="890"/>
    </row>
    <row r="1167" spans="1:18" s="276" customFormat="1" ht="15.95" customHeight="1">
      <c r="A1167" s="908" t="s">
        <v>3199</v>
      </c>
      <c r="B1167" s="908" t="s">
        <v>1402</v>
      </c>
      <c r="C1167" s="908" t="s">
        <v>96</v>
      </c>
      <c r="D1167" s="910" t="s">
        <v>3729</v>
      </c>
      <c r="E1167" s="907">
        <v>2500</v>
      </c>
      <c r="F1167" s="908" t="s">
        <v>3765</v>
      </c>
      <c r="G1167" s="910" t="s">
        <v>3766</v>
      </c>
      <c r="H1167" s="911" t="s">
        <v>3767</v>
      </c>
      <c r="I1167" s="911" t="s">
        <v>2863</v>
      </c>
      <c r="J1167" s="910" t="s">
        <v>3767</v>
      </c>
      <c r="K1167" s="909">
        <v>1</v>
      </c>
      <c r="L1167" s="909">
        <v>12</v>
      </c>
      <c r="M1167" s="907">
        <v>32260.799999999999</v>
      </c>
      <c r="N1167" s="908">
        <v>1</v>
      </c>
      <c r="O1167" s="908">
        <v>6</v>
      </c>
      <c r="P1167" s="907">
        <v>16044.9</v>
      </c>
      <c r="R1167" s="890"/>
    </row>
    <row r="1168" spans="1:18" s="276" customFormat="1" ht="15.95" customHeight="1">
      <c r="A1168" s="908" t="s">
        <v>3199</v>
      </c>
      <c r="B1168" s="908" t="s">
        <v>1402</v>
      </c>
      <c r="C1168" s="908" t="s">
        <v>96</v>
      </c>
      <c r="D1168" s="910" t="s">
        <v>3768</v>
      </c>
      <c r="E1168" s="907">
        <v>6000</v>
      </c>
      <c r="F1168" s="908" t="s">
        <v>3769</v>
      </c>
      <c r="G1168" s="910" t="s">
        <v>3770</v>
      </c>
      <c r="H1168" s="911" t="s">
        <v>2750</v>
      </c>
      <c r="I1168" s="911" t="s">
        <v>2863</v>
      </c>
      <c r="J1168" s="910" t="s">
        <v>2750</v>
      </c>
      <c r="K1168" s="909">
        <v>1</v>
      </c>
      <c r="L1168" s="909">
        <v>11</v>
      </c>
      <c r="M1168" s="907">
        <v>59247.4</v>
      </c>
      <c r="N1168" s="908"/>
      <c r="O1168" s="908"/>
      <c r="P1168" s="907"/>
      <c r="R1168" s="890"/>
    </row>
    <row r="1169" spans="1:18" s="276" customFormat="1" ht="15.95" customHeight="1">
      <c r="A1169" s="908" t="s">
        <v>3199</v>
      </c>
      <c r="B1169" s="908" t="s">
        <v>1402</v>
      </c>
      <c r="C1169" s="908" t="s">
        <v>96</v>
      </c>
      <c r="D1169" s="910" t="s">
        <v>3768</v>
      </c>
      <c r="E1169" s="907">
        <v>6000</v>
      </c>
      <c r="F1169" s="908" t="s">
        <v>3771</v>
      </c>
      <c r="G1169" s="910" t="s">
        <v>3772</v>
      </c>
      <c r="H1169" s="911" t="s">
        <v>2743</v>
      </c>
      <c r="I1169" s="911" t="s">
        <v>2863</v>
      </c>
      <c r="J1169" s="910" t="s">
        <v>2743</v>
      </c>
      <c r="K1169" s="909">
        <v>1</v>
      </c>
      <c r="L1169" s="909">
        <v>12</v>
      </c>
      <c r="M1169" s="907">
        <v>70527.47</v>
      </c>
      <c r="N1169" s="908">
        <v>1</v>
      </c>
      <c r="O1169" s="908">
        <v>6</v>
      </c>
      <c r="P1169" s="907">
        <v>37044.9</v>
      </c>
      <c r="R1169" s="890"/>
    </row>
    <row r="1170" spans="1:18" s="276" customFormat="1" ht="15.95" customHeight="1">
      <c r="A1170" s="908" t="s">
        <v>3199</v>
      </c>
      <c r="B1170" s="908" t="s">
        <v>1402</v>
      </c>
      <c r="C1170" s="908" t="s">
        <v>96</v>
      </c>
      <c r="D1170" s="910" t="s">
        <v>3768</v>
      </c>
      <c r="E1170" s="907">
        <v>3500</v>
      </c>
      <c r="F1170" s="908" t="s">
        <v>3773</v>
      </c>
      <c r="G1170" s="910" t="s">
        <v>3774</v>
      </c>
      <c r="H1170" s="911" t="s">
        <v>1478</v>
      </c>
      <c r="I1170" s="911" t="s">
        <v>2863</v>
      </c>
      <c r="J1170" s="910" t="s">
        <v>1478</v>
      </c>
      <c r="K1170" s="909">
        <v>1</v>
      </c>
      <c r="L1170" s="909">
        <v>12</v>
      </c>
      <c r="M1170" s="907">
        <v>40060.800000000003</v>
      </c>
      <c r="N1170" s="908">
        <v>1</v>
      </c>
      <c r="O1170" s="908">
        <v>6</v>
      </c>
      <c r="P1170" s="907">
        <v>22044.9</v>
      </c>
      <c r="R1170" s="890"/>
    </row>
    <row r="1171" spans="1:18" s="276" customFormat="1" ht="15.95" customHeight="1">
      <c r="A1171" s="908" t="s">
        <v>3199</v>
      </c>
      <c r="B1171" s="908" t="s">
        <v>1402</v>
      </c>
      <c r="C1171" s="908" t="s">
        <v>96</v>
      </c>
      <c r="D1171" s="910" t="s">
        <v>3768</v>
      </c>
      <c r="E1171" s="907">
        <v>6000</v>
      </c>
      <c r="F1171" s="908" t="s">
        <v>3775</v>
      </c>
      <c r="G1171" s="910" t="s">
        <v>3776</v>
      </c>
      <c r="H1171" s="911" t="s">
        <v>2743</v>
      </c>
      <c r="I1171" s="911" t="s">
        <v>2863</v>
      </c>
      <c r="J1171" s="910" t="s">
        <v>2743</v>
      </c>
      <c r="K1171" s="909">
        <v>1</v>
      </c>
      <c r="L1171" s="909">
        <v>12</v>
      </c>
      <c r="M1171" s="907">
        <v>74760.800000000003</v>
      </c>
      <c r="N1171" s="908">
        <v>1</v>
      </c>
      <c r="O1171" s="908">
        <v>6</v>
      </c>
      <c r="P1171" s="907">
        <v>37044.9</v>
      </c>
      <c r="R1171" s="890"/>
    </row>
    <row r="1172" spans="1:18" s="276" customFormat="1" ht="15.95" customHeight="1">
      <c r="A1172" s="908" t="s">
        <v>3199</v>
      </c>
      <c r="B1172" s="908" t="s">
        <v>1402</v>
      </c>
      <c r="C1172" s="908" t="s">
        <v>96</v>
      </c>
      <c r="D1172" s="910" t="s">
        <v>3777</v>
      </c>
      <c r="E1172" s="907">
        <v>4500</v>
      </c>
      <c r="F1172" s="908" t="s">
        <v>3778</v>
      </c>
      <c r="G1172" s="910" t="s">
        <v>3779</v>
      </c>
      <c r="H1172" s="911" t="s">
        <v>3780</v>
      </c>
      <c r="I1172" s="911" t="s">
        <v>2863</v>
      </c>
      <c r="J1172" s="910" t="s">
        <v>3781</v>
      </c>
      <c r="K1172" s="909">
        <v>1</v>
      </c>
      <c r="L1172" s="909">
        <v>12</v>
      </c>
      <c r="M1172" s="907">
        <v>55879.51</v>
      </c>
      <c r="N1172" s="908">
        <v>1</v>
      </c>
      <c r="O1172" s="908">
        <v>6</v>
      </c>
      <c r="P1172" s="907">
        <v>28044.9</v>
      </c>
      <c r="R1172" s="890"/>
    </row>
    <row r="1173" spans="1:18" s="276" customFormat="1" ht="24">
      <c r="A1173" s="908" t="s">
        <v>3199</v>
      </c>
      <c r="B1173" s="908" t="s">
        <v>1402</v>
      </c>
      <c r="C1173" s="908" t="s">
        <v>96</v>
      </c>
      <c r="D1173" s="910" t="s">
        <v>3777</v>
      </c>
      <c r="E1173" s="907">
        <v>3700</v>
      </c>
      <c r="F1173" s="908" t="s">
        <v>3782</v>
      </c>
      <c r="G1173" s="910" t="s">
        <v>3783</v>
      </c>
      <c r="H1173" s="911" t="s">
        <v>3784</v>
      </c>
      <c r="I1173" s="911" t="s">
        <v>1407</v>
      </c>
      <c r="J1173" s="910" t="s">
        <v>3785</v>
      </c>
      <c r="K1173" s="909">
        <v>1</v>
      </c>
      <c r="L1173" s="909">
        <v>12</v>
      </c>
      <c r="M1173" s="907">
        <v>46947.460000000006</v>
      </c>
      <c r="N1173" s="908">
        <v>1</v>
      </c>
      <c r="O1173" s="908">
        <v>6</v>
      </c>
      <c r="P1173" s="907">
        <v>23244.9</v>
      </c>
      <c r="R1173" s="890"/>
    </row>
    <row r="1174" spans="1:18" s="276" customFormat="1" ht="15.95" customHeight="1">
      <c r="A1174" s="908" t="s">
        <v>3199</v>
      </c>
      <c r="B1174" s="908" t="s">
        <v>1402</v>
      </c>
      <c r="C1174" s="908" t="s">
        <v>96</v>
      </c>
      <c r="D1174" s="910" t="s">
        <v>3777</v>
      </c>
      <c r="E1174" s="907">
        <v>4500</v>
      </c>
      <c r="F1174" s="908" t="s">
        <v>3786</v>
      </c>
      <c r="G1174" s="910" t="s">
        <v>3787</v>
      </c>
      <c r="H1174" s="911" t="s">
        <v>3657</v>
      </c>
      <c r="I1174" s="911" t="s">
        <v>2863</v>
      </c>
      <c r="J1174" s="910" t="s">
        <v>3657</v>
      </c>
      <c r="K1174" s="909">
        <v>1</v>
      </c>
      <c r="L1174" s="909">
        <v>12</v>
      </c>
      <c r="M1174" s="907">
        <v>55760.800000000003</v>
      </c>
      <c r="N1174" s="908">
        <v>1</v>
      </c>
      <c r="O1174" s="908">
        <v>6</v>
      </c>
      <c r="P1174" s="907">
        <v>28044.9</v>
      </c>
      <c r="R1174" s="890"/>
    </row>
    <row r="1175" spans="1:18" s="276" customFormat="1" ht="15.95" customHeight="1">
      <c r="A1175" s="908" t="s">
        <v>3199</v>
      </c>
      <c r="B1175" s="908" t="s">
        <v>1402</v>
      </c>
      <c r="C1175" s="908" t="s">
        <v>96</v>
      </c>
      <c r="D1175" s="910" t="s">
        <v>3777</v>
      </c>
      <c r="E1175" s="907">
        <v>5000</v>
      </c>
      <c r="F1175" s="908" t="s">
        <v>3788</v>
      </c>
      <c r="G1175" s="910" t="s">
        <v>3789</v>
      </c>
      <c r="H1175" s="911" t="s">
        <v>3790</v>
      </c>
      <c r="I1175" s="911" t="s">
        <v>2863</v>
      </c>
      <c r="J1175" s="910" t="s">
        <v>3790</v>
      </c>
      <c r="K1175" s="909">
        <v>1</v>
      </c>
      <c r="L1175" s="909">
        <v>12</v>
      </c>
      <c r="M1175" s="907">
        <v>62260.800000000003</v>
      </c>
      <c r="N1175" s="908">
        <v>1</v>
      </c>
      <c r="O1175" s="908">
        <v>6</v>
      </c>
      <c r="P1175" s="907">
        <v>31044.9</v>
      </c>
      <c r="R1175" s="890"/>
    </row>
    <row r="1176" spans="1:18" s="276" customFormat="1" ht="15.95" customHeight="1">
      <c r="A1176" s="908" t="s">
        <v>3199</v>
      </c>
      <c r="B1176" s="908" t="s">
        <v>1402</v>
      </c>
      <c r="C1176" s="908" t="s">
        <v>96</v>
      </c>
      <c r="D1176" s="910" t="s">
        <v>3777</v>
      </c>
      <c r="E1176" s="907">
        <v>3000</v>
      </c>
      <c r="F1176" s="908" t="s">
        <v>3791</v>
      </c>
      <c r="G1176" s="910" t="s">
        <v>3792</v>
      </c>
      <c r="H1176" s="911" t="s">
        <v>3226</v>
      </c>
      <c r="I1176" s="911" t="s">
        <v>2863</v>
      </c>
      <c r="J1176" s="910" t="s">
        <v>2750</v>
      </c>
      <c r="K1176" s="909">
        <v>1</v>
      </c>
      <c r="L1176" s="909">
        <v>12</v>
      </c>
      <c r="M1176" s="907">
        <v>40760.800000000003</v>
      </c>
      <c r="N1176" s="908">
        <v>1</v>
      </c>
      <c r="O1176" s="908">
        <v>6</v>
      </c>
      <c r="P1176" s="907">
        <v>19044.900000000001</v>
      </c>
      <c r="R1176" s="890"/>
    </row>
    <row r="1177" spans="1:18" s="276" customFormat="1" ht="15.95" customHeight="1">
      <c r="A1177" s="908" t="s">
        <v>3199</v>
      </c>
      <c r="B1177" s="908" t="s">
        <v>1402</v>
      </c>
      <c r="C1177" s="908" t="s">
        <v>96</v>
      </c>
      <c r="D1177" s="910" t="s">
        <v>3793</v>
      </c>
      <c r="E1177" s="907">
        <v>2800</v>
      </c>
      <c r="F1177" s="908" t="s">
        <v>3794</v>
      </c>
      <c r="G1177" s="910" t="s">
        <v>3795</v>
      </c>
      <c r="H1177" s="911" t="s">
        <v>3599</v>
      </c>
      <c r="I1177" s="911" t="s">
        <v>2863</v>
      </c>
      <c r="J1177" s="910" t="s">
        <v>3599</v>
      </c>
      <c r="K1177" s="909">
        <v>1</v>
      </c>
      <c r="L1177" s="909">
        <v>12</v>
      </c>
      <c r="M1177" s="907">
        <v>35860.800000000003</v>
      </c>
      <c r="N1177" s="908">
        <v>1</v>
      </c>
      <c r="O1177" s="908">
        <v>6</v>
      </c>
      <c r="P1177" s="907">
        <v>17844.900000000001</v>
      </c>
      <c r="R1177" s="890"/>
    </row>
    <row r="1178" spans="1:18" s="276" customFormat="1" ht="15.95" customHeight="1">
      <c r="A1178" s="908" t="s">
        <v>3199</v>
      </c>
      <c r="B1178" s="908" t="s">
        <v>1402</v>
      </c>
      <c r="C1178" s="908" t="s">
        <v>96</v>
      </c>
      <c r="D1178" s="910" t="s">
        <v>3793</v>
      </c>
      <c r="E1178" s="907">
        <v>7000</v>
      </c>
      <c r="F1178" s="908" t="s">
        <v>3796</v>
      </c>
      <c r="G1178" s="910" t="s">
        <v>3797</v>
      </c>
      <c r="H1178" s="911" t="s">
        <v>3599</v>
      </c>
      <c r="I1178" s="911" t="s">
        <v>2863</v>
      </c>
      <c r="J1178" s="910" t="s">
        <v>3599</v>
      </c>
      <c r="K1178" s="909">
        <v>1</v>
      </c>
      <c r="L1178" s="909">
        <v>12</v>
      </c>
      <c r="M1178" s="907">
        <v>84463.52</v>
      </c>
      <c r="N1178" s="908">
        <v>1</v>
      </c>
      <c r="O1178" s="908">
        <v>6</v>
      </c>
      <c r="P1178" s="907">
        <v>43044.9</v>
      </c>
      <c r="R1178" s="890"/>
    </row>
    <row r="1179" spans="1:18" s="276" customFormat="1" ht="15.95" customHeight="1">
      <c r="A1179" s="908" t="s">
        <v>3199</v>
      </c>
      <c r="B1179" s="908" t="s">
        <v>1402</v>
      </c>
      <c r="C1179" s="908" t="s">
        <v>96</v>
      </c>
      <c r="D1179" s="910" t="s">
        <v>3793</v>
      </c>
      <c r="E1179" s="907">
        <v>7000</v>
      </c>
      <c r="F1179" s="908" t="s">
        <v>3798</v>
      </c>
      <c r="G1179" s="910" t="s">
        <v>3799</v>
      </c>
      <c r="H1179" s="911" t="s">
        <v>3599</v>
      </c>
      <c r="I1179" s="911" t="s">
        <v>2863</v>
      </c>
      <c r="J1179" s="910" t="s">
        <v>3599</v>
      </c>
      <c r="K1179" s="909">
        <v>1</v>
      </c>
      <c r="L1179" s="909">
        <v>12</v>
      </c>
      <c r="M1179" s="907">
        <v>85260.800000000003</v>
      </c>
      <c r="N1179" s="908">
        <v>1</v>
      </c>
      <c r="O1179" s="908">
        <v>6</v>
      </c>
      <c r="P1179" s="907">
        <v>43044.9</v>
      </c>
      <c r="R1179" s="890"/>
    </row>
    <row r="1180" spans="1:18" s="276" customFormat="1" ht="15.95" customHeight="1">
      <c r="A1180" s="908" t="s">
        <v>3199</v>
      </c>
      <c r="B1180" s="908" t="s">
        <v>1402</v>
      </c>
      <c r="C1180" s="908" t="s">
        <v>96</v>
      </c>
      <c r="D1180" s="910" t="s">
        <v>3793</v>
      </c>
      <c r="E1180" s="907">
        <v>3200</v>
      </c>
      <c r="F1180" s="908" t="s">
        <v>3800</v>
      </c>
      <c r="G1180" s="910" t="s">
        <v>3801</v>
      </c>
      <c r="H1180" s="911" t="s">
        <v>3657</v>
      </c>
      <c r="I1180" s="911" t="s">
        <v>2863</v>
      </c>
      <c r="J1180" s="910" t="s">
        <v>3657</v>
      </c>
      <c r="K1180" s="909">
        <v>1</v>
      </c>
      <c r="L1180" s="909">
        <v>12</v>
      </c>
      <c r="M1180" s="907">
        <v>40660.800000000003</v>
      </c>
      <c r="N1180" s="908">
        <v>1</v>
      </c>
      <c r="O1180" s="908">
        <v>6</v>
      </c>
      <c r="P1180" s="907">
        <v>20244.900000000001</v>
      </c>
      <c r="R1180" s="890"/>
    </row>
    <row r="1181" spans="1:18" s="276" customFormat="1" ht="15.95" customHeight="1">
      <c r="A1181" s="908" t="s">
        <v>3199</v>
      </c>
      <c r="B1181" s="908" t="s">
        <v>1402</v>
      </c>
      <c r="C1181" s="908" t="s">
        <v>96</v>
      </c>
      <c r="D1181" s="910" t="s">
        <v>3793</v>
      </c>
      <c r="E1181" s="907">
        <v>5000</v>
      </c>
      <c r="F1181" s="908" t="s">
        <v>3802</v>
      </c>
      <c r="G1181" s="910" t="s">
        <v>3803</v>
      </c>
      <c r="H1181" s="911" t="s">
        <v>3599</v>
      </c>
      <c r="I1181" s="911" t="s">
        <v>2863</v>
      </c>
      <c r="J1181" s="910" t="s">
        <v>3599</v>
      </c>
      <c r="K1181" s="909">
        <v>1</v>
      </c>
      <c r="L1181" s="909">
        <v>12</v>
      </c>
      <c r="M1181" s="907">
        <v>59760.800000000003</v>
      </c>
      <c r="N1181" s="908">
        <v>1</v>
      </c>
      <c r="O1181" s="908">
        <v>6</v>
      </c>
      <c r="P1181" s="907">
        <v>31044.9</v>
      </c>
      <c r="R1181" s="890"/>
    </row>
    <row r="1182" spans="1:18" s="276" customFormat="1" ht="15.95" customHeight="1">
      <c r="A1182" s="908" t="s">
        <v>3199</v>
      </c>
      <c r="B1182" s="908" t="s">
        <v>1402</v>
      </c>
      <c r="C1182" s="908" t="s">
        <v>96</v>
      </c>
      <c r="D1182" s="910" t="s">
        <v>3793</v>
      </c>
      <c r="E1182" s="907">
        <v>7000</v>
      </c>
      <c r="F1182" s="908" t="s">
        <v>3804</v>
      </c>
      <c r="G1182" s="910" t="s">
        <v>3805</v>
      </c>
      <c r="H1182" s="911" t="s">
        <v>3599</v>
      </c>
      <c r="I1182" s="911" t="s">
        <v>2863</v>
      </c>
      <c r="J1182" s="910" t="s">
        <v>3599</v>
      </c>
      <c r="K1182" s="909">
        <v>1</v>
      </c>
      <c r="L1182" s="909">
        <v>12</v>
      </c>
      <c r="M1182" s="907">
        <v>86260.800000000003</v>
      </c>
      <c r="N1182" s="908">
        <v>1</v>
      </c>
      <c r="O1182" s="908">
        <v>6</v>
      </c>
      <c r="P1182" s="907">
        <v>43044.9</v>
      </c>
      <c r="R1182" s="890"/>
    </row>
    <row r="1183" spans="1:18" s="276" customFormat="1" ht="15.95" customHeight="1">
      <c r="A1183" s="908" t="s">
        <v>3199</v>
      </c>
      <c r="B1183" s="908" t="s">
        <v>1402</v>
      </c>
      <c r="C1183" s="908" t="s">
        <v>96</v>
      </c>
      <c r="D1183" s="910" t="s">
        <v>3793</v>
      </c>
      <c r="E1183" s="907">
        <v>7000</v>
      </c>
      <c r="F1183" s="908" t="s">
        <v>3806</v>
      </c>
      <c r="G1183" s="910" t="s">
        <v>3807</v>
      </c>
      <c r="H1183" s="911" t="s">
        <v>3599</v>
      </c>
      <c r="I1183" s="911" t="s">
        <v>2863</v>
      </c>
      <c r="J1183" s="910" t="s">
        <v>3599</v>
      </c>
      <c r="K1183" s="909">
        <v>1</v>
      </c>
      <c r="L1183" s="909">
        <v>12</v>
      </c>
      <c r="M1183" s="907">
        <v>86260.800000000003</v>
      </c>
      <c r="N1183" s="908">
        <v>1</v>
      </c>
      <c r="O1183" s="908">
        <v>6</v>
      </c>
      <c r="P1183" s="907">
        <v>43044.9</v>
      </c>
      <c r="R1183" s="890"/>
    </row>
    <row r="1184" spans="1:18" s="276" customFormat="1" ht="15.95" customHeight="1">
      <c r="A1184" s="908" t="s">
        <v>3199</v>
      </c>
      <c r="B1184" s="908" t="s">
        <v>1402</v>
      </c>
      <c r="C1184" s="908" t="s">
        <v>96</v>
      </c>
      <c r="D1184" s="910" t="s">
        <v>3793</v>
      </c>
      <c r="E1184" s="907">
        <v>2500</v>
      </c>
      <c r="F1184" s="908" t="s">
        <v>3808</v>
      </c>
      <c r="G1184" s="910" t="s">
        <v>3809</v>
      </c>
      <c r="H1184" s="911" t="s">
        <v>3657</v>
      </c>
      <c r="I1184" s="911" t="s">
        <v>1407</v>
      </c>
      <c r="J1184" s="910" t="s">
        <v>3657</v>
      </c>
      <c r="K1184" s="909">
        <v>1</v>
      </c>
      <c r="L1184" s="909">
        <v>12</v>
      </c>
      <c r="M1184" s="907">
        <v>32260.799999999999</v>
      </c>
      <c r="N1184" s="908">
        <v>1</v>
      </c>
      <c r="O1184" s="908">
        <v>6</v>
      </c>
      <c r="P1184" s="907">
        <v>16044.9</v>
      </c>
      <c r="R1184" s="890"/>
    </row>
    <row r="1185" spans="1:18" s="276" customFormat="1">
      <c r="A1185" s="908"/>
      <c r="B1185" s="908"/>
      <c r="C1185" s="908"/>
      <c r="D1185" s="910"/>
      <c r="E1185" s="907"/>
      <c r="F1185" s="908"/>
      <c r="G1185" s="910"/>
      <c r="H1185" s="911"/>
      <c r="I1185" s="911" t="s">
        <v>4244</v>
      </c>
      <c r="J1185" s="910"/>
      <c r="K1185" s="909"/>
      <c r="L1185" s="909"/>
      <c r="M1185" s="907">
        <v>113469</v>
      </c>
      <c r="N1185" s="908"/>
      <c r="O1185" s="908"/>
      <c r="P1185" s="907">
        <v>10382</v>
      </c>
      <c r="R1185" s="890"/>
    </row>
    <row r="1186" spans="1:18" s="276" customFormat="1">
      <c r="A1186" s="908"/>
      <c r="B1186" s="908"/>
      <c r="C1186" s="908"/>
      <c r="D1186" s="910"/>
      <c r="E1186" s="907"/>
      <c r="F1186" s="908"/>
      <c r="G1186" s="910"/>
      <c r="H1186" s="911"/>
      <c r="I1186" s="911"/>
      <c r="J1186" s="910"/>
      <c r="K1186" s="909"/>
      <c r="L1186" s="909"/>
      <c r="M1186" s="913">
        <f>SUM(M900:M1185)</f>
        <v>16582677.560000071</v>
      </c>
      <c r="N1186" s="908"/>
      <c r="O1186" s="908"/>
      <c r="P1186" s="913">
        <f>SUM(P900:P1185)</f>
        <v>8603284.8300000429</v>
      </c>
      <c r="R1186" s="890"/>
    </row>
    <row r="1187" spans="1:18" s="276" customFormat="1" ht="36">
      <c r="A1187" s="908" t="s">
        <v>3199</v>
      </c>
      <c r="B1187" s="908" t="s">
        <v>1402</v>
      </c>
      <c r="C1187" s="912" t="s">
        <v>4243</v>
      </c>
      <c r="D1187" s="910" t="s">
        <v>3577</v>
      </c>
      <c r="E1187" s="907">
        <v>6000</v>
      </c>
      <c r="F1187" s="908">
        <v>43837832</v>
      </c>
      <c r="G1187" s="910" t="s">
        <v>3810</v>
      </c>
      <c r="H1187" s="911" t="s">
        <v>1410</v>
      </c>
      <c r="I1187" s="911" t="s">
        <v>1411</v>
      </c>
      <c r="J1187" s="910" t="s">
        <v>2750</v>
      </c>
      <c r="K1187" s="909" t="s">
        <v>2764</v>
      </c>
      <c r="L1187" s="909" t="s">
        <v>2760</v>
      </c>
      <c r="M1187" s="907">
        <v>12000</v>
      </c>
      <c r="N1187" s="908"/>
      <c r="O1187" s="908"/>
      <c r="P1187" s="907"/>
      <c r="R1187" s="890"/>
    </row>
    <row r="1188" spans="1:18" s="276" customFormat="1" ht="36">
      <c r="A1188" s="908" t="s">
        <v>3199</v>
      </c>
      <c r="B1188" s="908" t="s">
        <v>1402</v>
      </c>
      <c r="C1188" s="912" t="s">
        <v>4243</v>
      </c>
      <c r="D1188" s="910" t="s">
        <v>3811</v>
      </c>
      <c r="E1188" s="907">
        <v>7000</v>
      </c>
      <c r="F1188" s="908">
        <v>45095467</v>
      </c>
      <c r="G1188" s="910" t="s">
        <v>3812</v>
      </c>
      <c r="H1188" s="911" t="s">
        <v>3813</v>
      </c>
      <c r="I1188" s="911" t="s">
        <v>1411</v>
      </c>
      <c r="J1188" s="910" t="s">
        <v>2750</v>
      </c>
      <c r="K1188" s="909">
        <v>3</v>
      </c>
      <c r="L1188" s="909">
        <v>4</v>
      </c>
      <c r="M1188" s="907">
        <v>28000</v>
      </c>
      <c r="N1188" s="908">
        <v>2</v>
      </c>
      <c r="O1188" s="908">
        <v>4</v>
      </c>
      <c r="P1188" s="907">
        <v>28000</v>
      </c>
      <c r="R1188" s="890"/>
    </row>
    <row r="1189" spans="1:18" s="276" customFormat="1" ht="36">
      <c r="A1189" s="908" t="s">
        <v>3199</v>
      </c>
      <c r="B1189" s="908" t="s">
        <v>1402</v>
      </c>
      <c r="C1189" s="912" t="s">
        <v>4243</v>
      </c>
      <c r="D1189" s="910" t="s">
        <v>3318</v>
      </c>
      <c r="E1189" s="907">
        <v>5500</v>
      </c>
      <c r="F1189" s="908">
        <v>45674203</v>
      </c>
      <c r="G1189" s="910" t="s">
        <v>3325</v>
      </c>
      <c r="H1189" s="911" t="s">
        <v>3814</v>
      </c>
      <c r="I1189" s="911" t="s">
        <v>1411</v>
      </c>
      <c r="J1189" s="910" t="s">
        <v>3815</v>
      </c>
      <c r="K1189" s="909">
        <v>3</v>
      </c>
      <c r="L1189" s="909">
        <v>10</v>
      </c>
      <c r="M1189" s="907">
        <v>55000</v>
      </c>
      <c r="N1189" s="908"/>
      <c r="O1189" s="908"/>
      <c r="P1189" s="907"/>
      <c r="R1189" s="890"/>
    </row>
    <row r="1190" spans="1:18" s="276" customFormat="1" ht="36">
      <c r="A1190" s="908" t="s">
        <v>3199</v>
      </c>
      <c r="B1190" s="908" t="s">
        <v>1402</v>
      </c>
      <c r="C1190" s="912" t="s">
        <v>4243</v>
      </c>
      <c r="D1190" s="910" t="s">
        <v>3408</v>
      </c>
      <c r="E1190" s="907">
        <v>6000</v>
      </c>
      <c r="F1190" s="908" t="s">
        <v>3816</v>
      </c>
      <c r="G1190" s="910" t="s">
        <v>3817</v>
      </c>
      <c r="H1190" s="911" t="s">
        <v>3323</v>
      </c>
      <c r="I1190" s="911" t="s">
        <v>1411</v>
      </c>
      <c r="J1190" s="910" t="s">
        <v>3815</v>
      </c>
      <c r="K1190" s="909">
        <v>1</v>
      </c>
      <c r="L1190" s="909">
        <v>4</v>
      </c>
      <c r="M1190" s="907">
        <v>24000</v>
      </c>
      <c r="N1190" s="908"/>
      <c r="O1190" s="908"/>
      <c r="P1190" s="907"/>
      <c r="R1190" s="890"/>
    </row>
    <row r="1191" spans="1:18" s="276" customFormat="1" ht="36">
      <c r="A1191" s="908" t="s">
        <v>3199</v>
      </c>
      <c r="B1191" s="908" t="s">
        <v>1402</v>
      </c>
      <c r="C1191" s="912" t="s">
        <v>4243</v>
      </c>
      <c r="D1191" s="910" t="s">
        <v>3700</v>
      </c>
      <c r="E1191" s="907">
        <v>3000</v>
      </c>
      <c r="F1191" s="908">
        <v>44288819</v>
      </c>
      <c r="G1191" s="910" t="s">
        <v>3818</v>
      </c>
      <c r="H1191" s="911" t="s">
        <v>3819</v>
      </c>
      <c r="I1191" s="911" t="s">
        <v>1411</v>
      </c>
      <c r="J1191" s="910" t="s">
        <v>2949</v>
      </c>
      <c r="K1191" s="909"/>
      <c r="L1191" s="909"/>
      <c r="M1191" s="907"/>
      <c r="N1191" s="908">
        <v>1</v>
      </c>
      <c r="O1191" s="908">
        <v>5</v>
      </c>
      <c r="P1191" s="907">
        <v>15000</v>
      </c>
      <c r="R1191" s="890"/>
    </row>
    <row r="1192" spans="1:18" s="276" customFormat="1" ht="36">
      <c r="A1192" s="908" t="s">
        <v>3199</v>
      </c>
      <c r="B1192" s="908" t="s">
        <v>1402</v>
      </c>
      <c r="C1192" s="912" t="s">
        <v>4243</v>
      </c>
      <c r="D1192" s="910" t="s">
        <v>3820</v>
      </c>
      <c r="E1192" s="907">
        <v>5000</v>
      </c>
      <c r="F1192" s="908" t="s">
        <v>3821</v>
      </c>
      <c r="G1192" s="910" t="s">
        <v>3822</v>
      </c>
      <c r="H1192" s="911" t="s">
        <v>1417</v>
      </c>
      <c r="I1192" s="911" t="s">
        <v>1411</v>
      </c>
      <c r="J1192" s="910" t="s">
        <v>2883</v>
      </c>
      <c r="K1192" s="909">
        <v>2</v>
      </c>
      <c r="L1192" s="909">
        <v>11</v>
      </c>
      <c r="M1192" s="907">
        <v>55000</v>
      </c>
      <c r="N1192" s="908"/>
      <c r="O1192" s="908"/>
      <c r="P1192" s="907"/>
      <c r="R1192" s="890"/>
    </row>
    <row r="1193" spans="1:18" s="276" customFormat="1" ht="36">
      <c r="A1193" s="908" t="s">
        <v>3199</v>
      </c>
      <c r="B1193" s="908" t="s">
        <v>1402</v>
      </c>
      <c r="C1193" s="912" t="s">
        <v>4243</v>
      </c>
      <c r="D1193" s="910" t="s">
        <v>3604</v>
      </c>
      <c r="E1193" s="907">
        <v>6000</v>
      </c>
      <c r="F1193" s="908">
        <v>72324607</v>
      </c>
      <c r="G1193" s="910" t="s">
        <v>3823</v>
      </c>
      <c r="H1193" s="911" t="s">
        <v>1483</v>
      </c>
      <c r="I1193" s="911" t="s">
        <v>1411</v>
      </c>
      <c r="J1193" s="910" t="s">
        <v>3824</v>
      </c>
      <c r="K1193" s="909">
        <v>3</v>
      </c>
      <c r="L1193" s="909">
        <v>9</v>
      </c>
      <c r="M1193" s="907">
        <v>54000</v>
      </c>
      <c r="N1193" s="908">
        <v>1</v>
      </c>
      <c r="O1193" s="908">
        <v>5</v>
      </c>
      <c r="P1193" s="907">
        <v>30000</v>
      </c>
      <c r="R1193" s="890"/>
    </row>
    <row r="1194" spans="1:18" s="276" customFormat="1" ht="36">
      <c r="A1194" s="908" t="s">
        <v>3199</v>
      </c>
      <c r="B1194" s="908" t="s">
        <v>1402</v>
      </c>
      <c r="C1194" s="912" t="s">
        <v>4243</v>
      </c>
      <c r="D1194" s="910" t="s">
        <v>3793</v>
      </c>
      <c r="E1194" s="907">
        <v>5500</v>
      </c>
      <c r="F1194" s="908">
        <v>33675200</v>
      </c>
      <c r="G1194" s="910" t="s">
        <v>3825</v>
      </c>
      <c r="H1194" s="911" t="s">
        <v>2883</v>
      </c>
      <c r="I1194" s="911" t="s">
        <v>1411</v>
      </c>
      <c r="J1194" s="910" t="s">
        <v>2883</v>
      </c>
      <c r="K1194" s="909">
        <v>3</v>
      </c>
      <c r="L1194" s="909">
        <v>11</v>
      </c>
      <c r="M1194" s="907">
        <v>60500</v>
      </c>
      <c r="N1194" s="908">
        <v>2</v>
      </c>
      <c r="O1194" s="908">
        <v>5</v>
      </c>
      <c r="P1194" s="907">
        <v>27500</v>
      </c>
      <c r="R1194" s="890"/>
    </row>
    <row r="1195" spans="1:18" s="276" customFormat="1" ht="36">
      <c r="A1195" s="908" t="s">
        <v>3199</v>
      </c>
      <c r="B1195" s="908" t="s">
        <v>1402</v>
      </c>
      <c r="C1195" s="912" t="s">
        <v>4243</v>
      </c>
      <c r="D1195" s="910" t="s">
        <v>3826</v>
      </c>
      <c r="E1195" s="907">
        <v>1500</v>
      </c>
      <c r="F1195" s="908">
        <v>29343080</v>
      </c>
      <c r="G1195" s="910" t="s">
        <v>3827</v>
      </c>
      <c r="H1195" s="911" t="s">
        <v>3828</v>
      </c>
      <c r="I1195" s="911" t="s">
        <v>3828</v>
      </c>
      <c r="J1195" s="910" t="s">
        <v>3828</v>
      </c>
      <c r="K1195" s="909">
        <v>1</v>
      </c>
      <c r="L1195" s="909">
        <v>3</v>
      </c>
      <c r="M1195" s="907">
        <v>4500</v>
      </c>
      <c r="N1195" s="908"/>
      <c r="O1195" s="908"/>
      <c r="P1195" s="907"/>
      <c r="R1195" s="890"/>
    </row>
    <row r="1196" spans="1:18" s="276" customFormat="1" ht="36">
      <c r="A1196" s="908" t="s">
        <v>3199</v>
      </c>
      <c r="B1196" s="908" t="s">
        <v>1402</v>
      </c>
      <c r="C1196" s="912" t="s">
        <v>4243</v>
      </c>
      <c r="D1196" s="910" t="s">
        <v>3408</v>
      </c>
      <c r="E1196" s="907">
        <v>4000</v>
      </c>
      <c r="F1196" s="908">
        <v>45227059</v>
      </c>
      <c r="G1196" s="910" t="s">
        <v>3829</v>
      </c>
      <c r="H1196" s="911" t="s">
        <v>3323</v>
      </c>
      <c r="I1196" s="911" t="s">
        <v>1411</v>
      </c>
      <c r="J1196" s="910" t="s">
        <v>3830</v>
      </c>
      <c r="K1196" s="909">
        <v>1</v>
      </c>
      <c r="L1196" s="909">
        <v>7</v>
      </c>
      <c r="M1196" s="907">
        <v>28000</v>
      </c>
      <c r="N1196" s="908">
        <v>1</v>
      </c>
      <c r="O1196" s="908">
        <v>4</v>
      </c>
      <c r="P1196" s="907">
        <v>18000</v>
      </c>
      <c r="R1196" s="890"/>
    </row>
    <row r="1197" spans="1:18" s="276" customFormat="1" ht="36">
      <c r="A1197" s="908" t="s">
        <v>3199</v>
      </c>
      <c r="B1197" s="908" t="s">
        <v>1402</v>
      </c>
      <c r="C1197" s="912" t="s">
        <v>4243</v>
      </c>
      <c r="D1197" s="910" t="s">
        <v>3318</v>
      </c>
      <c r="E1197" s="907">
        <v>4200</v>
      </c>
      <c r="F1197" s="908">
        <v>46514610</v>
      </c>
      <c r="G1197" s="910" t="s">
        <v>3831</v>
      </c>
      <c r="H1197" s="911" t="s">
        <v>2743</v>
      </c>
      <c r="I1197" s="911" t="s">
        <v>1411</v>
      </c>
      <c r="J1197" s="910" t="s">
        <v>3832</v>
      </c>
      <c r="K1197" s="909">
        <v>2</v>
      </c>
      <c r="L1197" s="909">
        <v>3</v>
      </c>
      <c r="M1197" s="907">
        <v>12600</v>
      </c>
      <c r="N1197" s="908">
        <v>1</v>
      </c>
      <c r="O1197" s="908">
        <v>3</v>
      </c>
      <c r="P1197" s="907">
        <v>12600</v>
      </c>
      <c r="R1197" s="890"/>
    </row>
    <row r="1198" spans="1:18" s="276" customFormat="1" ht="36">
      <c r="A1198" s="908" t="s">
        <v>3199</v>
      </c>
      <c r="B1198" s="908" t="s">
        <v>1402</v>
      </c>
      <c r="C1198" s="912" t="s">
        <v>4243</v>
      </c>
      <c r="D1198" s="910" t="s">
        <v>3318</v>
      </c>
      <c r="E1198" s="907">
        <v>2400</v>
      </c>
      <c r="F1198" s="908">
        <v>47144876</v>
      </c>
      <c r="G1198" s="910" t="s">
        <v>3833</v>
      </c>
      <c r="H1198" s="911" t="s">
        <v>1478</v>
      </c>
      <c r="I1198" s="911" t="s">
        <v>1411</v>
      </c>
      <c r="J1198" s="910" t="s">
        <v>3834</v>
      </c>
      <c r="K1198" s="909">
        <v>2</v>
      </c>
      <c r="L1198" s="909">
        <v>3</v>
      </c>
      <c r="M1198" s="907">
        <v>7200</v>
      </c>
      <c r="N1198" s="908">
        <v>1</v>
      </c>
      <c r="O1198" s="908">
        <v>2</v>
      </c>
      <c r="P1198" s="907">
        <v>4800</v>
      </c>
      <c r="R1198" s="890"/>
    </row>
    <row r="1199" spans="1:18" s="276" customFormat="1" ht="36">
      <c r="A1199" s="908" t="s">
        <v>3199</v>
      </c>
      <c r="B1199" s="908" t="s">
        <v>1402</v>
      </c>
      <c r="C1199" s="912" t="s">
        <v>4243</v>
      </c>
      <c r="D1199" s="910" t="s">
        <v>3520</v>
      </c>
      <c r="E1199" s="907">
        <v>3500</v>
      </c>
      <c r="F1199" s="908" t="s">
        <v>3835</v>
      </c>
      <c r="G1199" s="910" t="s">
        <v>3836</v>
      </c>
      <c r="H1199" s="911" t="s">
        <v>3323</v>
      </c>
      <c r="I1199" s="911" t="s">
        <v>1411</v>
      </c>
      <c r="J1199" s="910" t="s">
        <v>3830</v>
      </c>
      <c r="K1199" s="909"/>
      <c r="L1199" s="909"/>
      <c r="M1199" s="907"/>
      <c r="N1199" s="908">
        <v>1</v>
      </c>
      <c r="O1199" s="908">
        <v>4</v>
      </c>
      <c r="P1199" s="907">
        <v>14000</v>
      </c>
      <c r="R1199" s="890"/>
    </row>
    <row r="1200" spans="1:18" s="276" customFormat="1" ht="36">
      <c r="A1200" s="908" t="s">
        <v>3199</v>
      </c>
      <c r="B1200" s="908" t="s">
        <v>1402</v>
      </c>
      <c r="C1200" s="912" t="s">
        <v>4243</v>
      </c>
      <c r="D1200" s="910" t="s">
        <v>3408</v>
      </c>
      <c r="E1200" s="907">
        <v>3500</v>
      </c>
      <c r="F1200" s="908">
        <v>42237870</v>
      </c>
      <c r="G1200" s="910" t="s">
        <v>3837</v>
      </c>
      <c r="H1200" s="911" t="s">
        <v>3323</v>
      </c>
      <c r="I1200" s="911" t="s">
        <v>1411</v>
      </c>
      <c r="J1200" s="910" t="s">
        <v>3830</v>
      </c>
      <c r="K1200" s="909">
        <v>3</v>
      </c>
      <c r="L1200" s="909">
        <v>8</v>
      </c>
      <c r="M1200" s="907">
        <v>28000</v>
      </c>
      <c r="N1200" s="908"/>
      <c r="O1200" s="908"/>
      <c r="P1200" s="907"/>
      <c r="R1200" s="890"/>
    </row>
    <row r="1201" spans="1:18" s="276" customFormat="1" ht="36">
      <c r="A1201" s="908" t="s">
        <v>3199</v>
      </c>
      <c r="B1201" s="908" t="s">
        <v>1402</v>
      </c>
      <c r="C1201" s="912" t="s">
        <v>4243</v>
      </c>
      <c r="D1201" s="910" t="s">
        <v>3318</v>
      </c>
      <c r="E1201" s="907">
        <v>3000</v>
      </c>
      <c r="F1201" s="908">
        <v>44316652</v>
      </c>
      <c r="G1201" s="910" t="s">
        <v>3838</v>
      </c>
      <c r="H1201" s="911" t="s">
        <v>2743</v>
      </c>
      <c r="I1201" s="911" t="s">
        <v>1411</v>
      </c>
      <c r="J1201" s="910" t="s">
        <v>3815</v>
      </c>
      <c r="K1201" s="909">
        <v>3</v>
      </c>
      <c r="L1201" s="909">
        <v>6</v>
      </c>
      <c r="M1201" s="907">
        <v>18000</v>
      </c>
      <c r="N1201" s="908">
        <v>1</v>
      </c>
      <c r="O1201" s="908">
        <v>2</v>
      </c>
      <c r="P1201" s="907">
        <v>11000</v>
      </c>
      <c r="R1201" s="890"/>
    </row>
    <row r="1202" spans="1:18" s="276" customFormat="1" ht="36">
      <c r="A1202" s="908" t="s">
        <v>3199</v>
      </c>
      <c r="B1202" s="908" t="s">
        <v>1402</v>
      </c>
      <c r="C1202" s="912" t="s">
        <v>4243</v>
      </c>
      <c r="D1202" s="910" t="s">
        <v>3318</v>
      </c>
      <c r="E1202" s="907">
        <v>5500</v>
      </c>
      <c r="F1202" s="908" t="s">
        <v>3839</v>
      </c>
      <c r="G1202" s="910" t="s">
        <v>3840</v>
      </c>
      <c r="H1202" s="911" t="s">
        <v>3323</v>
      </c>
      <c r="I1202" s="911" t="s">
        <v>1411</v>
      </c>
      <c r="J1202" s="910" t="s">
        <v>3815</v>
      </c>
      <c r="K1202" s="909"/>
      <c r="L1202" s="909"/>
      <c r="M1202" s="907"/>
      <c r="N1202" s="908">
        <v>1</v>
      </c>
      <c r="O1202" s="908">
        <v>4</v>
      </c>
      <c r="P1202" s="907">
        <v>22000</v>
      </c>
      <c r="R1202" s="890"/>
    </row>
    <row r="1203" spans="1:18" s="276" customFormat="1" ht="36">
      <c r="A1203" s="908" t="s">
        <v>3199</v>
      </c>
      <c r="B1203" s="908" t="s">
        <v>1402</v>
      </c>
      <c r="C1203" s="912" t="s">
        <v>4243</v>
      </c>
      <c r="D1203" s="910" t="s">
        <v>3729</v>
      </c>
      <c r="E1203" s="907">
        <v>6500</v>
      </c>
      <c r="F1203" s="908" t="s">
        <v>3841</v>
      </c>
      <c r="G1203" s="910" t="s">
        <v>3842</v>
      </c>
      <c r="H1203" s="911" t="s">
        <v>1414</v>
      </c>
      <c r="I1203" s="911" t="s">
        <v>1411</v>
      </c>
      <c r="J1203" s="910" t="s">
        <v>2797</v>
      </c>
      <c r="K1203" s="909">
        <v>3</v>
      </c>
      <c r="L1203" s="909">
        <v>7</v>
      </c>
      <c r="M1203" s="907">
        <v>45500</v>
      </c>
      <c r="N1203" s="908"/>
      <c r="O1203" s="908"/>
      <c r="P1203" s="907"/>
      <c r="R1203" s="890"/>
    </row>
    <row r="1204" spans="1:18" s="276" customFormat="1" ht="36">
      <c r="A1204" s="908" t="s">
        <v>3199</v>
      </c>
      <c r="B1204" s="908" t="s">
        <v>1402</v>
      </c>
      <c r="C1204" s="912" t="s">
        <v>4243</v>
      </c>
      <c r="D1204" s="910" t="s">
        <v>3408</v>
      </c>
      <c r="E1204" s="907">
        <v>5000</v>
      </c>
      <c r="F1204" s="908">
        <v>41282223</v>
      </c>
      <c r="G1204" s="910" t="s">
        <v>3843</v>
      </c>
      <c r="H1204" s="911" t="s">
        <v>3323</v>
      </c>
      <c r="I1204" s="911" t="s">
        <v>1411</v>
      </c>
      <c r="J1204" s="910" t="s">
        <v>3830</v>
      </c>
      <c r="K1204" s="909">
        <v>1</v>
      </c>
      <c r="L1204" s="909">
        <v>4</v>
      </c>
      <c r="M1204" s="907">
        <v>20000</v>
      </c>
      <c r="N1204" s="908"/>
      <c r="O1204" s="908"/>
      <c r="P1204" s="907"/>
      <c r="R1204" s="890"/>
    </row>
    <row r="1205" spans="1:18" s="276" customFormat="1" ht="36">
      <c r="A1205" s="908" t="s">
        <v>3199</v>
      </c>
      <c r="B1205" s="908" t="s">
        <v>1402</v>
      </c>
      <c r="C1205" s="912" t="s">
        <v>4243</v>
      </c>
      <c r="D1205" s="910" t="s">
        <v>3826</v>
      </c>
      <c r="E1205" s="907">
        <v>1500</v>
      </c>
      <c r="F1205" s="908">
        <v>239362581</v>
      </c>
      <c r="G1205" s="910" t="s">
        <v>3844</v>
      </c>
      <c r="H1205" s="911" t="s">
        <v>3828</v>
      </c>
      <c r="I1205" s="911" t="s">
        <v>3828</v>
      </c>
      <c r="J1205" s="910" t="s">
        <v>3828</v>
      </c>
      <c r="K1205" s="909">
        <v>3</v>
      </c>
      <c r="L1205" s="909">
        <v>9</v>
      </c>
      <c r="M1205" s="907">
        <v>13500</v>
      </c>
      <c r="N1205" s="908">
        <v>1</v>
      </c>
      <c r="O1205" s="908">
        <v>5</v>
      </c>
      <c r="P1205" s="907">
        <v>7500</v>
      </c>
      <c r="R1205" s="890"/>
    </row>
    <row r="1206" spans="1:18" s="276" customFormat="1" ht="48">
      <c r="A1206" s="908" t="s">
        <v>3199</v>
      </c>
      <c r="B1206" s="908" t="s">
        <v>1402</v>
      </c>
      <c r="C1206" s="912" t="s">
        <v>4243</v>
      </c>
      <c r="D1206" s="910" t="s">
        <v>3826</v>
      </c>
      <c r="E1206" s="907">
        <v>1500</v>
      </c>
      <c r="F1206" s="908">
        <v>31622958</v>
      </c>
      <c r="G1206" s="910" t="s">
        <v>3845</v>
      </c>
      <c r="H1206" s="911" t="s">
        <v>3846</v>
      </c>
      <c r="I1206" s="911" t="s">
        <v>1411</v>
      </c>
      <c r="J1206" s="910" t="s">
        <v>3847</v>
      </c>
      <c r="K1206" s="909">
        <v>4</v>
      </c>
      <c r="L1206" s="909">
        <v>11</v>
      </c>
      <c r="M1206" s="907">
        <v>16500</v>
      </c>
      <c r="N1206" s="908">
        <v>1</v>
      </c>
      <c r="O1206" s="908">
        <v>5</v>
      </c>
      <c r="P1206" s="907">
        <v>7500</v>
      </c>
      <c r="R1206" s="890"/>
    </row>
    <row r="1207" spans="1:18" s="276" customFormat="1" ht="36">
      <c r="A1207" s="908" t="s">
        <v>3199</v>
      </c>
      <c r="B1207" s="908" t="s">
        <v>1402</v>
      </c>
      <c r="C1207" s="912" t="s">
        <v>4243</v>
      </c>
      <c r="D1207" s="910" t="s">
        <v>3604</v>
      </c>
      <c r="E1207" s="907">
        <v>5000</v>
      </c>
      <c r="F1207" s="908">
        <v>41395251</v>
      </c>
      <c r="G1207" s="910" t="s">
        <v>3848</v>
      </c>
      <c r="H1207" s="911" t="s">
        <v>3849</v>
      </c>
      <c r="I1207" s="911" t="s">
        <v>1411</v>
      </c>
      <c r="J1207" s="910" t="s">
        <v>3850</v>
      </c>
      <c r="K1207" s="909">
        <v>3</v>
      </c>
      <c r="L1207" s="909">
        <v>10</v>
      </c>
      <c r="M1207" s="907">
        <v>50000</v>
      </c>
      <c r="N1207" s="908">
        <v>1</v>
      </c>
      <c r="O1207" s="908">
        <v>5</v>
      </c>
      <c r="P1207" s="907">
        <v>25000</v>
      </c>
      <c r="R1207" s="890"/>
    </row>
    <row r="1208" spans="1:18" s="276" customFormat="1" ht="36">
      <c r="A1208" s="908" t="s">
        <v>3199</v>
      </c>
      <c r="B1208" s="908" t="s">
        <v>1402</v>
      </c>
      <c r="C1208" s="912" t="s">
        <v>4243</v>
      </c>
      <c r="D1208" s="910" t="s">
        <v>3408</v>
      </c>
      <c r="E1208" s="907">
        <v>4000</v>
      </c>
      <c r="F1208" s="908">
        <v>71429018</v>
      </c>
      <c r="G1208" s="910" t="s">
        <v>3851</v>
      </c>
      <c r="H1208" s="911" t="s">
        <v>3323</v>
      </c>
      <c r="I1208" s="911" t="s">
        <v>1411</v>
      </c>
      <c r="J1208" s="910" t="s">
        <v>3830</v>
      </c>
      <c r="K1208" s="909">
        <v>3</v>
      </c>
      <c r="L1208" s="909">
        <v>8</v>
      </c>
      <c r="M1208" s="907">
        <v>32000</v>
      </c>
      <c r="N1208" s="908">
        <v>1</v>
      </c>
      <c r="O1208" s="908">
        <v>4</v>
      </c>
      <c r="P1208" s="907">
        <v>16000</v>
      </c>
      <c r="R1208" s="890"/>
    </row>
    <row r="1209" spans="1:18" s="276" customFormat="1" ht="36">
      <c r="A1209" s="908" t="s">
        <v>3199</v>
      </c>
      <c r="B1209" s="908" t="s">
        <v>1402</v>
      </c>
      <c r="C1209" s="912" t="s">
        <v>4243</v>
      </c>
      <c r="D1209" s="910" t="s">
        <v>3318</v>
      </c>
      <c r="E1209" s="907">
        <v>3500</v>
      </c>
      <c r="F1209" s="908">
        <v>42807938</v>
      </c>
      <c r="G1209" s="910" t="s">
        <v>3331</v>
      </c>
      <c r="H1209" s="911" t="s">
        <v>3323</v>
      </c>
      <c r="I1209" s="911" t="s">
        <v>1411</v>
      </c>
      <c r="J1209" s="910" t="s">
        <v>3830</v>
      </c>
      <c r="K1209" s="909">
        <v>2</v>
      </c>
      <c r="L1209" s="909">
        <v>8</v>
      </c>
      <c r="M1209" s="907">
        <v>28000</v>
      </c>
      <c r="N1209" s="908"/>
      <c r="O1209" s="908"/>
      <c r="P1209" s="907"/>
      <c r="R1209" s="890"/>
    </row>
    <row r="1210" spans="1:18" s="276" customFormat="1" ht="36">
      <c r="A1210" s="908" t="s">
        <v>3199</v>
      </c>
      <c r="B1210" s="908" t="s">
        <v>1402</v>
      </c>
      <c r="C1210" s="912" t="s">
        <v>4243</v>
      </c>
      <c r="D1210" s="910" t="s">
        <v>3465</v>
      </c>
      <c r="E1210" s="907">
        <v>4125</v>
      </c>
      <c r="F1210" s="908">
        <v>73197002</v>
      </c>
      <c r="G1210" s="910" t="s">
        <v>3852</v>
      </c>
      <c r="H1210" s="911" t="s">
        <v>1890</v>
      </c>
      <c r="I1210" s="911" t="s">
        <v>1411</v>
      </c>
      <c r="J1210" s="910" t="s">
        <v>3853</v>
      </c>
      <c r="K1210" s="909">
        <v>2</v>
      </c>
      <c r="L1210" s="909">
        <v>3</v>
      </c>
      <c r="M1210" s="907">
        <v>12375</v>
      </c>
      <c r="N1210" s="908">
        <v>1</v>
      </c>
      <c r="O1210" s="908">
        <v>4</v>
      </c>
      <c r="P1210" s="907">
        <v>16500</v>
      </c>
      <c r="R1210" s="890"/>
    </row>
    <row r="1211" spans="1:18" s="276" customFormat="1" ht="36">
      <c r="A1211" s="908" t="s">
        <v>3199</v>
      </c>
      <c r="B1211" s="908" t="s">
        <v>1402</v>
      </c>
      <c r="C1211" s="912" t="s">
        <v>4243</v>
      </c>
      <c r="D1211" s="910" t="s">
        <v>3408</v>
      </c>
      <c r="E1211" s="907">
        <v>8000</v>
      </c>
      <c r="F1211" s="908" t="s">
        <v>3854</v>
      </c>
      <c r="G1211" s="910" t="s">
        <v>3855</v>
      </c>
      <c r="H1211" s="911" t="s">
        <v>3323</v>
      </c>
      <c r="I1211" s="911" t="s">
        <v>1411</v>
      </c>
      <c r="J1211" s="910" t="s">
        <v>3815</v>
      </c>
      <c r="K1211" s="909">
        <v>1</v>
      </c>
      <c r="L1211" s="909">
        <v>3</v>
      </c>
      <c r="M1211" s="907">
        <v>24000</v>
      </c>
      <c r="N1211" s="908"/>
      <c r="O1211" s="908"/>
      <c r="P1211" s="907"/>
      <c r="R1211" s="890"/>
    </row>
    <row r="1212" spans="1:18" s="276" customFormat="1" ht="36">
      <c r="A1212" s="908" t="s">
        <v>3199</v>
      </c>
      <c r="B1212" s="908" t="s">
        <v>1402</v>
      </c>
      <c r="C1212" s="912" t="s">
        <v>4243</v>
      </c>
      <c r="D1212" s="910" t="s">
        <v>3296</v>
      </c>
      <c r="E1212" s="907">
        <v>3500</v>
      </c>
      <c r="F1212" s="908" t="s">
        <v>3856</v>
      </c>
      <c r="G1212" s="910" t="s">
        <v>3857</v>
      </c>
      <c r="H1212" s="911" t="s">
        <v>1410</v>
      </c>
      <c r="I1212" s="911" t="s">
        <v>1411</v>
      </c>
      <c r="J1212" s="910" t="s">
        <v>3858</v>
      </c>
      <c r="K1212" s="909">
        <v>1</v>
      </c>
      <c r="L1212" s="909">
        <v>2</v>
      </c>
      <c r="M1212" s="907">
        <v>5250</v>
      </c>
      <c r="N1212" s="908"/>
      <c r="O1212" s="908"/>
      <c r="P1212" s="907"/>
      <c r="R1212" s="890"/>
    </row>
    <row r="1213" spans="1:18" s="276" customFormat="1" ht="36">
      <c r="A1213" s="908" t="s">
        <v>3199</v>
      </c>
      <c r="B1213" s="908" t="s">
        <v>1402</v>
      </c>
      <c r="C1213" s="912" t="s">
        <v>4243</v>
      </c>
      <c r="D1213" s="910" t="s">
        <v>3408</v>
      </c>
      <c r="E1213" s="907">
        <v>6000</v>
      </c>
      <c r="F1213" s="908">
        <v>44744402</v>
      </c>
      <c r="G1213" s="910" t="s">
        <v>3859</v>
      </c>
      <c r="H1213" s="911" t="s">
        <v>3323</v>
      </c>
      <c r="I1213" s="911" t="s">
        <v>1411</v>
      </c>
      <c r="J1213" s="910" t="s">
        <v>3815</v>
      </c>
      <c r="K1213" s="909">
        <v>2</v>
      </c>
      <c r="L1213" s="909">
        <v>9</v>
      </c>
      <c r="M1213" s="907">
        <v>54000</v>
      </c>
      <c r="N1213" s="908"/>
      <c r="O1213" s="908"/>
      <c r="P1213" s="907"/>
      <c r="R1213" s="890"/>
    </row>
    <row r="1214" spans="1:18" s="276" customFormat="1" ht="36">
      <c r="A1214" s="908" t="s">
        <v>3199</v>
      </c>
      <c r="B1214" s="908" t="s">
        <v>1402</v>
      </c>
      <c r="C1214" s="912" t="s">
        <v>4243</v>
      </c>
      <c r="D1214" s="910" t="s">
        <v>3408</v>
      </c>
      <c r="E1214" s="907">
        <v>4500</v>
      </c>
      <c r="F1214" s="908">
        <v>42481840</v>
      </c>
      <c r="G1214" s="910" t="s">
        <v>3860</v>
      </c>
      <c r="H1214" s="911" t="s">
        <v>3323</v>
      </c>
      <c r="I1214" s="911" t="s">
        <v>1411</v>
      </c>
      <c r="J1214" s="910" t="s">
        <v>3815</v>
      </c>
      <c r="K1214" s="909">
        <v>4</v>
      </c>
      <c r="L1214" s="909">
        <v>9</v>
      </c>
      <c r="M1214" s="907">
        <v>40500</v>
      </c>
      <c r="N1214" s="908">
        <v>1</v>
      </c>
      <c r="O1214" s="908">
        <v>4</v>
      </c>
      <c r="P1214" s="907">
        <v>18000</v>
      </c>
      <c r="R1214" s="890"/>
    </row>
    <row r="1215" spans="1:18" s="276" customFormat="1" ht="36">
      <c r="A1215" s="908" t="s">
        <v>3199</v>
      </c>
      <c r="B1215" s="908" t="s">
        <v>1402</v>
      </c>
      <c r="C1215" s="912" t="s">
        <v>4243</v>
      </c>
      <c r="D1215" s="910" t="s">
        <v>3654</v>
      </c>
      <c r="E1215" s="907">
        <v>2200</v>
      </c>
      <c r="F1215" s="908">
        <v>71058615</v>
      </c>
      <c r="G1215" s="910" t="s">
        <v>3861</v>
      </c>
      <c r="H1215" s="911" t="s">
        <v>3862</v>
      </c>
      <c r="I1215" s="911" t="s">
        <v>1411</v>
      </c>
      <c r="J1215" s="910" t="s">
        <v>3863</v>
      </c>
      <c r="K1215" s="909">
        <v>2</v>
      </c>
      <c r="L1215" s="909">
        <v>11</v>
      </c>
      <c r="M1215" s="907">
        <v>24200</v>
      </c>
      <c r="N1215" s="908">
        <v>1</v>
      </c>
      <c r="O1215" s="908">
        <v>5</v>
      </c>
      <c r="P1215" s="907">
        <v>11000</v>
      </c>
      <c r="R1215" s="890"/>
    </row>
    <row r="1216" spans="1:18" s="276" customFormat="1" ht="36">
      <c r="A1216" s="908" t="s">
        <v>3199</v>
      </c>
      <c r="B1216" s="908" t="s">
        <v>1402</v>
      </c>
      <c r="C1216" s="912" t="s">
        <v>4243</v>
      </c>
      <c r="D1216" s="910" t="s">
        <v>3826</v>
      </c>
      <c r="E1216" s="907">
        <v>1500</v>
      </c>
      <c r="F1216" s="908">
        <v>43923228</v>
      </c>
      <c r="G1216" s="910" t="s">
        <v>3864</v>
      </c>
      <c r="H1216" s="911" t="s">
        <v>3828</v>
      </c>
      <c r="I1216" s="911" t="s">
        <v>3828</v>
      </c>
      <c r="J1216" s="910" t="s">
        <v>3828</v>
      </c>
      <c r="K1216" s="909">
        <v>3</v>
      </c>
      <c r="L1216" s="909">
        <v>8</v>
      </c>
      <c r="M1216" s="907">
        <v>12000</v>
      </c>
      <c r="N1216" s="908">
        <v>1</v>
      </c>
      <c r="O1216" s="908">
        <v>5</v>
      </c>
      <c r="P1216" s="907">
        <v>7500</v>
      </c>
      <c r="R1216" s="890"/>
    </row>
    <row r="1217" spans="1:18" s="276" customFormat="1" ht="36">
      <c r="A1217" s="908" t="s">
        <v>3199</v>
      </c>
      <c r="B1217" s="908" t="s">
        <v>1402</v>
      </c>
      <c r="C1217" s="912" t="s">
        <v>4243</v>
      </c>
      <c r="D1217" s="910" t="s">
        <v>3826</v>
      </c>
      <c r="E1217" s="907">
        <v>1500</v>
      </c>
      <c r="F1217" s="908">
        <v>27992160</v>
      </c>
      <c r="G1217" s="910" t="s">
        <v>3865</v>
      </c>
      <c r="H1217" s="911" t="s">
        <v>3828</v>
      </c>
      <c r="I1217" s="911" t="s">
        <v>3828</v>
      </c>
      <c r="J1217" s="910" t="s">
        <v>3828</v>
      </c>
      <c r="K1217" s="909">
        <v>5</v>
      </c>
      <c r="L1217" s="909">
        <v>11</v>
      </c>
      <c r="M1217" s="907">
        <v>16500</v>
      </c>
      <c r="N1217" s="908">
        <v>1</v>
      </c>
      <c r="O1217" s="908">
        <v>5</v>
      </c>
      <c r="P1217" s="907">
        <v>7500</v>
      </c>
      <c r="R1217" s="890"/>
    </row>
    <row r="1218" spans="1:18" s="276" customFormat="1" ht="36">
      <c r="A1218" s="908" t="s">
        <v>3199</v>
      </c>
      <c r="B1218" s="908" t="s">
        <v>1402</v>
      </c>
      <c r="C1218" s="912" t="s">
        <v>4243</v>
      </c>
      <c r="D1218" s="910" t="s">
        <v>3318</v>
      </c>
      <c r="E1218" s="907">
        <v>5500</v>
      </c>
      <c r="F1218" s="908">
        <v>47819315</v>
      </c>
      <c r="G1218" s="910" t="s">
        <v>3412</v>
      </c>
      <c r="H1218" s="911" t="s">
        <v>3323</v>
      </c>
      <c r="I1218" s="911" t="s">
        <v>1411</v>
      </c>
      <c r="J1218" s="910" t="s">
        <v>3866</v>
      </c>
      <c r="K1218" s="909">
        <v>2</v>
      </c>
      <c r="L1218" s="909">
        <v>9</v>
      </c>
      <c r="M1218" s="907">
        <v>49500</v>
      </c>
      <c r="N1218" s="908"/>
      <c r="O1218" s="908"/>
      <c r="P1218" s="907"/>
      <c r="R1218" s="890"/>
    </row>
    <row r="1219" spans="1:18" s="276" customFormat="1" ht="36">
      <c r="A1219" s="908" t="s">
        <v>3199</v>
      </c>
      <c r="B1219" s="908" t="s">
        <v>1402</v>
      </c>
      <c r="C1219" s="912" t="s">
        <v>4243</v>
      </c>
      <c r="D1219" s="910" t="s">
        <v>3577</v>
      </c>
      <c r="E1219" s="907">
        <v>7000</v>
      </c>
      <c r="F1219" s="908">
        <v>15766216</v>
      </c>
      <c r="G1219" s="910" t="s">
        <v>3581</v>
      </c>
      <c r="H1219" s="911" t="s">
        <v>1410</v>
      </c>
      <c r="I1219" s="911" t="s">
        <v>1411</v>
      </c>
      <c r="J1219" s="910" t="s">
        <v>2761</v>
      </c>
      <c r="K1219" s="909">
        <v>2</v>
      </c>
      <c r="L1219" s="909">
        <v>5</v>
      </c>
      <c r="M1219" s="907">
        <v>35000</v>
      </c>
      <c r="N1219" s="908"/>
      <c r="O1219" s="908"/>
      <c r="P1219" s="907"/>
      <c r="R1219" s="890"/>
    </row>
    <row r="1220" spans="1:18" s="276" customFormat="1" ht="36">
      <c r="A1220" s="908" t="s">
        <v>3199</v>
      </c>
      <c r="B1220" s="908" t="s">
        <v>1402</v>
      </c>
      <c r="C1220" s="912" t="s">
        <v>4243</v>
      </c>
      <c r="D1220" s="910" t="s">
        <v>3729</v>
      </c>
      <c r="E1220" s="907">
        <v>6500</v>
      </c>
      <c r="F1220" s="908">
        <v>41835982</v>
      </c>
      <c r="G1220" s="910" t="s">
        <v>3867</v>
      </c>
      <c r="H1220" s="911" t="s">
        <v>1414</v>
      </c>
      <c r="I1220" s="911" t="s">
        <v>1411</v>
      </c>
      <c r="J1220" s="910" t="s">
        <v>2797</v>
      </c>
      <c r="K1220" s="909">
        <v>4</v>
      </c>
      <c r="L1220" s="909">
        <v>11</v>
      </c>
      <c r="M1220" s="907">
        <v>71500</v>
      </c>
      <c r="N1220" s="908">
        <v>1</v>
      </c>
      <c r="O1220" s="908">
        <v>5</v>
      </c>
      <c r="P1220" s="907">
        <v>35000</v>
      </c>
      <c r="R1220" s="890"/>
    </row>
    <row r="1221" spans="1:18" s="276" customFormat="1" ht="36">
      <c r="A1221" s="908" t="s">
        <v>3199</v>
      </c>
      <c r="B1221" s="908" t="s">
        <v>1402</v>
      </c>
      <c r="C1221" s="912" t="s">
        <v>4243</v>
      </c>
      <c r="D1221" s="910" t="s">
        <v>3520</v>
      </c>
      <c r="E1221" s="907">
        <v>5000</v>
      </c>
      <c r="F1221" s="908" t="s">
        <v>3868</v>
      </c>
      <c r="G1221" s="910" t="s">
        <v>3869</v>
      </c>
      <c r="H1221" s="911" t="s">
        <v>1417</v>
      </c>
      <c r="I1221" s="911" t="s">
        <v>1411</v>
      </c>
      <c r="J1221" s="910" t="s">
        <v>1550</v>
      </c>
      <c r="K1221" s="909"/>
      <c r="L1221" s="909"/>
      <c r="M1221" s="907"/>
      <c r="N1221" s="908">
        <v>1</v>
      </c>
      <c r="O1221" s="908">
        <v>1</v>
      </c>
      <c r="P1221" s="907">
        <v>5000</v>
      </c>
      <c r="R1221" s="890"/>
    </row>
    <row r="1222" spans="1:18" s="276" customFormat="1" ht="36">
      <c r="A1222" s="908" t="s">
        <v>3199</v>
      </c>
      <c r="B1222" s="908" t="s">
        <v>1402</v>
      </c>
      <c r="C1222" s="912" t="s">
        <v>4243</v>
      </c>
      <c r="D1222" s="910" t="s">
        <v>3729</v>
      </c>
      <c r="E1222" s="907">
        <v>3000</v>
      </c>
      <c r="F1222" s="908" t="s">
        <v>3870</v>
      </c>
      <c r="G1222" s="910" t="s">
        <v>3871</v>
      </c>
      <c r="H1222" s="911" t="s">
        <v>1407</v>
      </c>
      <c r="I1222" s="911" t="s">
        <v>1411</v>
      </c>
      <c r="J1222" s="910" t="s">
        <v>3872</v>
      </c>
      <c r="K1222" s="909">
        <v>1</v>
      </c>
      <c r="L1222" s="909">
        <v>3</v>
      </c>
      <c r="M1222" s="907">
        <v>9000</v>
      </c>
      <c r="N1222" s="908"/>
      <c r="O1222" s="908"/>
      <c r="P1222" s="907"/>
      <c r="R1222" s="890"/>
    </row>
    <row r="1223" spans="1:18" s="276" customFormat="1" ht="36">
      <c r="A1223" s="908" t="s">
        <v>3199</v>
      </c>
      <c r="B1223" s="908" t="s">
        <v>1402</v>
      </c>
      <c r="C1223" s="912" t="s">
        <v>4243</v>
      </c>
      <c r="D1223" s="910" t="s">
        <v>3408</v>
      </c>
      <c r="E1223" s="907">
        <v>3500</v>
      </c>
      <c r="F1223" s="908">
        <v>47157917</v>
      </c>
      <c r="G1223" s="910" t="s">
        <v>3873</v>
      </c>
      <c r="H1223" s="911" t="s">
        <v>3323</v>
      </c>
      <c r="I1223" s="911" t="s">
        <v>1411</v>
      </c>
      <c r="J1223" s="910" t="s">
        <v>3830</v>
      </c>
      <c r="K1223" s="909">
        <v>3</v>
      </c>
      <c r="L1223" s="909">
        <v>7</v>
      </c>
      <c r="M1223" s="907">
        <v>24500</v>
      </c>
      <c r="N1223" s="908">
        <v>1</v>
      </c>
      <c r="O1223" s="908">
        <v>3</v>
      </c>
      <c r="P1223" s="907">
        <v>10500</v>
      </c>
      <c r="R1223" s="890"/>
    </row>
    <row r="1224" spans="1:18" s="276" customFormat="1" ht="36">
      <c r="A1224" s="908" t="s">
        <v>3199</v>
      </c>
      <c r="B1224" s="908" t="s">
        <v>1402</v>
      </c>
      <c r="C1224" s="912" t="s">
        <v>4243</v>
      </c>
      <c r="D1224" s="910" t="s">
        <v>3408</v>
      </c>
      <c r="E1224" s="907">
        <v>3500</v>
      </c>
      <c r="F1224" s="908">
        <v>72736519</v>
      </c>
      <c r="G1224" s="910" t="s">
        <v>3874</v>
      </c>
      <c r="H1224" s="911" t="s">
        <v>3323</v>
      </c>
      <c r="I1224" s="911" t="s">
        <v>1411</v>
      </c>
      <c r="J1224" s="910" t="s">
        <v>3830</v>
      </c>
      <c r="K1224" s="909">
        <v>2</v>
      </c>
      <c r="L1224" s="909">
        <v>6</v>
      </c>
      <c r="M1224" s="907">
        <v>21000</v>
      </c>
      <c r="N1224" s="908"/>
      <c r="O1224" s="908"/>
      <c r="P1224" s="907"/>
      <c r="R1224" s="890"/>
    </row>
    <row r="1225" spans="1:18" s="276" customFormat="1" ht="36">
      <c r="A1225" s="908" t="s">
        <v>3199</v>
      </c>
      <c r="B1225" s="908" t="s">
        <v>1402</v>
      </c>
      <c r="C1225" s="912" t="s">
        <v>4243</v>
      </c>
      <c r="D1225" s="910" t="s">
        <v>3700</v>
      </c>
      <c r="E1225" s="907">
        <v>2000</v>
      </c>
      <c r="F1225" s="908">
        <v>46880823</v>
      </c>
      <c r="G1225" s="910" t="s">
        <v>3875</v>
      </c>
      <c r="H1225" s="911" t="s">
        <v>1407</v>
      </c>
      <c r="I1225" s="911" t="s">
        <v>1411</v>
      </c>
      <c r="J1225" s="910" t="s">
        <v>3876</v>
      </c>
      <c r="K1225" s="909">
        <v>1</v>
      </c>
      <c r="L1225" s="909">
        <v>3</v>
      </c>
      <c r="M1225" s="907">
        <v>6000</v>
      </c>
      <c r="N1225" s="908"/>
      <c r="O1225" s="908"/>
      <c r="P1225" s="907"/>
      <c r="R1225" s="890"/>
    </row>
    <row r="1226" spans="1:18" s="276" customFormat="1" ht="36">
      <c r="A1226" s="908" t="s">
        <v>3199</v>
      </c>
      <c r="B1226" s="908" t="s">
        <v>1402</v>
      </c>
      <c r="C1226" s="912" t="s">
        <v>4243</v>
      </c>
      <c r="D1226" s="910" t="s">
        <v>3604</v>
      </c>
      <c r="E1226" s="907">
        <v>6000</v>
      </c>
      <c r="F1226" s="908">
        <v>42612815</v>
      </c>
      <c r="G1226" s="910" t="s">
        <v>3877</v>
      </c>
      <c r="H1226" s="911" t="s">
        <v>2743</v>
      </c>
      <c r="I1226" s="911" t="s">
        <v>1411</v>
      </c>
      <c r="J1226" s="910" t="s">
        <v>3850</v>
      </c>
      <c r="K1226" s="909"/>
      <c r="L1226" s="909"/>
      <c r="M1226" s="907"/>
      <c r="N1226" s="908">
        <v>1</v>
      </c>
      <c r="O1226" s="908">
        <v>5</v>
      </c>
      <c r="P1226" s="907">
        <v>30000</v>
      </c>
      <c r="R1226" s="890"/>
    </row>
    <row r="1227" spans="1:18" s="276" customFormat="1" ht="36">
      <c r="A1227" s="908" t="s">
        <v>3199</v>
      </c>
      <c r="B1227" s="908" t="s">
        <v>1402</v>
      </c>
      <c r="C1227" s="912" t="s">
        <v>4243</v>
      </c>
      <c r="D1227" s="910" t="s">
        <v>3408</v>
      </c>
      <c r="E1227" s="907">
        <v>5000</v>
      </c>
      <c r="F1227" s="908">
        <v>44532952</v>
      </c>
      <c r="G1227" s="910" t="s">
        <v>3878</v>
      </c>
      <c r="H1227" s="911" t="s">
        <v>3323</v>
      </c>
      <c r="I1227" s="911" t="s">
        <v>1411</v>
      </c>
      <c r="J1227" s="910" t="s">
        <v>3830</v>
      </c>
      <c r="K1227" s="909">
        <v>2</v>
      </c>
      <c r="L1227" s="909">
        <v>9</v>
      </c>
      <c r="M1227" s="907">
        <v>45000</v>
      </c>
      <c r="N1227" s="908">
        <v>1</v>
      </c>
      <c r="O1227" s="908">
        <v>5</v>
      </c>
      <c r="P1227" s="907">
        <v>25000</v>
      </c>
      <c r="R1227" s="890"/>
    </row>
    <row r="1228" spans="1:18" s="276" customFormat="1" ht="36">
      <c r="A1228" s="908" t="s">
        <v>3199</v>
      </c>
      <c r="B1228" s="908" t="s">
        <v>1402</v>
      </c>
      <c r="C1228" s="912" t="s">
        <v>4243</v>
      </c>
      <c r="D1228" s="910" t="s">
        <v>3729</v>
      </c>
      <c r="E1228" s="907">
        <v>2500</v>
      </c>
      <c r="F1228" s="908" t="s">
        <v>3879</v>
      </c>
      <c r="G1228" s="910" t="s">
        <v>3880</v>
      </c>
      <c r="H1228" s="911" t="s">
        <v>3881</v>
      </c>
      <c r="I1228" s="911" t="s">
        <v>1411</v>
      </c>
      <c r="J1228" s="910" t="s">
        <v>3882</v>
      </c>
      <c r="K1228" s="909">
        <v>1</v>
      </c>
      <c r="L1228" s="909">
        <v>4</v>
      </c>
      <c r="M1228" s="907">
        <v>10000</v>
      </c>
      <c r="N1228" s="908">
        <v>1</v>
      </c>
      <c r="O1228" s="908">
        <v>4</v>
      </c>
      <c r="P1228" s="907">
        <v>10000</v>
      </c>
      <c r="R1228" s="890"/>
    </row>
    <row r="1229" spans="1:18" s="276" customFormat="1" ht="36">
      <c r="A1229" s="908" t="s">
        <v>3199</v>
      </c>
      <c r="B1229" s="908" t="s">
        <v>1402</v>
      </c>
      <c r="C1229" s="912" t="s">
        <v>4243</v>
      </c>
      <c r="D1229" s="910" t="s">
        <v>3577</v>
      </c>
      <c r="E1229" s="907">
        <v>6000</v>
      </c>
      <c r="F1229" s="908">
        <v>40500853</v>
      </c>
      <c r="G1229" s="910" t="s">
        <v>3583</v>
      </c>
      <c r="H1229" s="911" t="s">
        <v>1410</v>
      </c>
      <c r="I1229" s="911" t="s">
        <v>1411</v>
      </c>
      <c r="J1229" s="910" t="s">
        <v>2761</v>
      </c>
      <c r="K1229" s="909">
        <v>2</v>
      </c>
      <c r="L1229" s="909">
        <v>6</v>
      </c>
      <c r="M1229" s="907">
        <v>36000</v>
      </c>
      <c r="N1229" s="908"/>
      <c r="O1229" s="908"/>
      <c r="P1229" s="907"/>
      <c r="R1229" s="890"/>
    </row>
    <row r="1230" spans="1:18" s="276" customFormat="1" ht="36">
      <c r="A1230" s="908" t="s">
        <v>3199</v>
      </c>
      <c r="B1230" s="908" t="s">
        <v>1402</v>
      </c>
      <c r="C1230" s="912" t="s">
        <v>4243</v>
      </c>
      <c r="D1230" s="910" t="s">
        <v>3826</v>
      </c>
      <c r="E1230" s="907">
        <v>5500</v>
      </c>
      <c r="F1230" s="908">
        <v>60093437</v>
      </c>
      <c r="G1230" s="910" t="s">
        <v>3883</v>
      </c>
      <c r="H1230" s="911" t="s">
        <v>3884</v>
      </c>
      <c r="I1230" s="911" t="s">
        <v>1411</v>
      </c>
      <c r="J1230" s="910" t="s">
        <v>3885</v>
      </c>
      <c r="K1230" s="909">
        <v>5</v>
      </c>
      <c r="L1230" s="909">
        <v>10</v>
      </c>
      <c r="M1230" s="907">
        <v>55000</v>
      </c>
      <c r="N1230" s="908">
        <v>1</v>
      </c>
      <c r="O1230" s="908">
        <v>5</v>
      </c>
      <c r="P1230" s="907">
        <v>27500</v>
      </c>
      <c r="R1230" s="890"/>
    </row>
    <row r="1231" spans="1:18" s="276" customFormat="1" ht="36">
      <c r="A1231" s="908" t="s">
        <v>3199</v>
      </c>
      <c r="B1231" s="908" t="s">
        <v>1402</v>
      </c>
      <c r="C1231" s="912" t="s">
        <v>4243</v>
      </c>
      <c r="D1231" s="910" t="s">
        <v>3729</v>
      </c>
      <c r="E1231" s="907">
        <v>6500</v>
      </c>
      <c r="F1231" s="908">
        <v>43880464</v>
      </c>
      <c r="G1231" s="910" t="s">
        <v>3886</v>
      </c>
      <c r="H1231" s="911" t="s">
        <v>1565</v>
      </c>
      <c r="I1231" s="911" t="s">
        <v>1411</v>
      </c>
      <c r="J1231" s="910" t="s">
        <v>2939</v>
      </c>
      <c r="K1231" s="909">
        <v>3</v>
      </c>
      <c r="L1231" s="909">
        <v>7</v>
      </c>
      <c r="M1231" s="907">
        <v>45500</v>
      </c>
      <c r="N1231" s="908">
        <v>2</v>
      </c>
      <c r="O1231" s="908">
        <v>5</v>
      </c>
      <c r="P1231" s="907">
        <v>32500</v>
      </c>
      <c r="R1231" s="890"/>
    </row>
    <row r="1232" spans="1:18" s="276" customFormat="1" ht="36">
      <c r="A1232" s="908" t="s">
        <v>3199</v>
      </c>
      <c r="B1232" s="908" t="s">
        <v>1402</v>
      </c>
      <c r="C1232" s="912" t="s">
        <v>4243</v>
      </c>
      <c r="D1232" s="910" t="s">
        <v>3318</v>
      </c>
      <c r="E1232" s="907">
        <v>3500</v>
      </c>
      <c r="F1232" s="908">
        <v>10643804</v>
      </c>
      <c r="G1232" s="910" t="s">
        <v>3887</v>
      </c>
      <c r="H1232" s="911" t="s">
        <v>3888</v>
      </c>
      <c r="I1232" s="911" t="s">
        <v>1411</v>
      </c>
      <c r="J1232" s="910" t="s">
        <v>2736</v>
      </c>
      <c r="K1232" s="909">
        <v>2</v>
      </c>
      <c r="L1232" s="909">
        <v>10</v>
      </c>
      <c r="M1232" s="907">
        <v>35000</v>
      </c>
      <c r="N1232" s="908">
        <v>1</v>
      </c>
      <c r="O1232" s="908">
        <v>5</v>
      </c>
      <c r="P1232" s="907">
        <v>15000</v>
      </c>
      <c r="R1232" s="890"/>
    </row>
    <row r="1233" spans="1:18" s="276" customFormat="1" ht="36">
      <c r="A1233" s="908" t="s">
        <v>3199</v>
      </c>
      <c r="B1233" s="908" t="s">
        <v>1402</v>
      </c>
      <c r="C1233" s="912" t="s">
        <v>4243</v>
      </c>
      <c r="D1233" s="910" t="s">
        <v>3318</v>
      </c>
      <c r="E1233" s="907">
        <v>4500</v>
      </c>
      <c r="F1233" s="908" t="s">
        <v>3889</v>
      </c>
      <c r="G1233" s="910" t="s">
        <v>3890</v>
      </c>
      <c r="H1233" s="911" t="s">
        <v>3884</v>
      </c>
      <c r="I1233" s="911" t="s">
        <v>1411</v>
      </c>
      <c r="J1233" s="910" t="s">
        <v>3885</v>
      </c>
      <c r="K1233" s="909">
        <v>1</v>
      </c>
      <c r="L1233" s="909">
        <v>2</v>
      </c>
      <c r="M1233" s="907">
        <v>6250</v>
      </c>
      <c r="N1233" s="908">
        <v>1</v>
      </c>
      <c r="O1233" s="908">
        <v>3</v>
      </c>
      <c r="P1233" s="907">
        <v>13500</v>
      </c>
      <c r="R1233" s="890"/>
    </row>
    <row r="1234" spans="1:18" s="276" customFormat="1" ht="36">
      <c r="A1234" s="908" t="s">
        <v>3199</v>
      </c>
      <c r="B1234" s="908" t="s">
        <v>1402</v>
      </c>
      <c r="C1234" s="912" t="s">
        <v>4243</v>
      </c>
      <c r="D1234" s="910" t="s">
        <v>3891</v>
      </c>
      <c r="E1234" s="907">
        <v>7000</v>
      </c>
      <c r="F1234" s="908">
        <v>10307087</v>
      </c>
      <c r="G1234" s="910" t="s">
        <v>3892</v>
      </c>
      <c r="H1234" s="911" t="s">
        <v>2750</v>
      </c>
      <c r="I1234" s="911" t="s">
        <v>1411</v>
      </c>
      <c r="J1234" s="910" t="s">
        <v>2750</v>
      </c>
      <c r="K1234" s="909">
        <v>1</v>
      </c>
      <c r="L1234" s="909">
        <v>4</v>
      </c>
      <c r="M1234" s="907">
        <v>28000</v>
      </c>
      <c r="N1234" s="908"/>
      <c r="O1234" s="908"/>
      <c r="P1234" s="907"/>
      <c r="R1234" s="890"/>
    </row>
    <row r="1235" spans="1:18" s="276" customFormat="1" ht="36">
      <c r="A1235" s="908" t="s">
        <v>3199</v>
      </c>
      <c r="B1235" s="908" t="s">
        <v>1402</v>
      </c>
      <c r="C1235" s="912" t="s">
        <v>4243</v>
      </c>
      <c r="D1235" s="910" t="s">
        <v>3318</v>
      </c>
      <c r="E1235" s="907">
        <v>4000</v>
      </c>
      <c r="F1235" s="908">
        <v>43505910</v>
      </c>
      <c r="G1235" s="910" t="s">
        <v>3345</v>
      </c>
      <c r="H1235" s="911" t="s">
        <v>2743</v>
      </c>
      <c r="I1235" s="911" t="s">
        <v>1411</v>
      </c>
      <c r="J1235" s="910" t="s">
        <v>3893</v>
      </c>
      <c r="K1235" s="909">
        <v>1</v>
      </c>
      <c r="L1235" s="909">
        <v>3</v>
      </c>
      <c r="M1235" s="907">
        <v>12000</v>
      </c>
      <c r="N1235" s="908">
        <v>2</v>
      </c>
      <c r="O1235" s="908">
        <v>3</v>
      </c>
      <c r="P1235" s="907">
        <v>12000</v>
      </c>
      <c r="R1235" s="890"/>
    </row>
    <row r="1236" spans="1:18" s="276" customFormat="1" ht="36">
      <c r="A1236" s="908" t="s">
        <v>3199</v>
      </c>
      <c r="B1236" s="908" t="s">
        <v>1402</v>
      </c>
      <c r="C1236" s="912" t="s">
        <v>4243</v>
      </c>
      <c r="D1236" s="910" t="s">
        <v>3318</v>
      </c>
      <c r="E1236" s="907">
        <v>3500</v>
      </c>
      <c r="F1236" s="908">
        <v>43259887</v>
      </c>
      <c r="G1236" s="910" t="s">
        <v>3894</v>
      </c>
      <c r="H1236" s="911" t="s">
        <v>3323</v>
      </c>
      <c r="I1236" s="911" t="s">
        <v>1411</v>
      </c>
      <c r="J1236" s="910" t="s">
        <v>3830</v>
      </c>
      <c r="K1236" s="909">
        <v>2</v>
      </c>
      <c r="L1236" s="909">
        <v>5</v>
      </c>
      <c r="M1236" s="907">
        <v>17500</v>
      </c>
      <c r="N1236" s="908">
        <v>1</v>
      </c>
      <c r="O1236" s="908">
        <v>3</v>
      </c>
      <c r="P1236" s="907">
        <v>10500</v>
      </c>
      <c r="R1236" s="890"/>
    </row>
    <row r="1237" spans="1:18" s="276" customFormat="1" ht="36">
      <c r="A1237" s="908" t="s">
        <v>3199</v>
      </c>
      <c r="B1237" s="908" t="s">
        <v>1402</v>
      </c>
      <c r="C1237" s="912" t="s">
        <v>4243</v>
      </c>
      <c r="D1237" s="910" t="s">
        <v>3826</v>
      </c>
      <c r="E1237" s="907">
        <v>2700</v>
      </c>
      <c r="F1237" s="908">
        <v>70184156</v>
      </c>
      <c r="G1237" s="910" t="s">
        <v>3895</v>
      </c>
      <c r="H1237" s="911" t="s">
        <v>1410</v>
      </c>
      <c r="I1237" s="911" t="s">
        <v>1411</v>
      </c>
      <c r="J1237" s="910" t="s">
        <v>2750</v>
      </c>
      <c r="K1237" s="909">
        <v>1</v>
      </c>
      <c r="L1237" s="909">
        <v>2</v>
      </c>
      <c r="M1237" s="907">
        <v>5400</v>
      </c>
      <c r="N1237" s="908"/>
      <c r="O1237" s="908"/>
      <c r="P1237" s="907"/>
      <c r="R1237" s="890"/>
    </row>
    <row r="1238" spans="1:18" s="276" customFormat="1" ht="36">
      <c r="A1238" s="908" t="s">
        <v>3199</v>
      </c>
      <c r="B1238" s="908" t="s">
        <v>1402</v>
      </c>
      <c r="C1238" s="912" t="s">
        <v>4243</v>
      </c>
      <c r="D1238" s="910" t="s">
        <v>3223</v>
      </c>
      <c r="E1238" s="907">
        <v>2500</v>
      </c>
      <c r="F1238" s="908">
        <v>72937632</v>
      </c>
      <c r="G1238" s="910" t="s">
        <v>3234</v>
      </c>
      <c r="H1238" s="911" t="s">
        <v>1410</v>
      </c>
      <c r="I1238" s="911" t="s">
        <v>1411</v>
      </c>
      <c r="J1238" s="910" t="s">
        <v>3896</v>
      </c>
      <c r="K1238" s="909">
        <v>1</v>
      </c>
      <c r="L1238" s="909">
        <v>2</v>
      </c>
      <c r="M1238" s="907">
        <v>5000</v>
      </c>
      <c r="N1238" s="908"/>
      <c r="O1238" s="908"/>
      <c r="P1238" s="907"/>
      <c r="R1238" s="890"/>
    </row>
    <row r="1239" spans="1:18" s="276" customFormat="1" ht="36">
      <c r="A1239" s="908" t="s">
        <v>3199</v>
      </c>
      <c r="B1239" s="908" t="s">
        <v>1402</v>
      </c>
      <c r="C1239" s="912" t="s">
        <v>4243</v>
      </c>
      <c r="D1239" s="910" t="s">
        <v>3465</v>
      </c>
      <c r="E1239" s="907">
        <v>3500</v>
      </c>
      <c r="F1239" s="908">
        <v>73816947</v>
      </c>
      <c r="G1239" s="910" t="s">
        <v>3897</v>
      </c>
      <c r="H1239" s="911" t="s">
        <v>2743</v>
      </c>
      <c r="I1239" s="911" t="s">
        <v>1411</v>
      </c>
      <c r="J1239" s="910" t="s">
        <v>3830</v>
      </c>
      <c r="K1239" s="909">
        <v>2</v>
      </c>
      <c r="L1239" s="909">
        <v>5</v>
      </c>
      <c r="M1239" s="907">
        <v>17500</v>
      </c>
      <c r="N1239" s="908">
        <v>1</v>
      </c>
      <c r="O1239" s="908">
        <v>4</v>
      </c>
      <c r="P1239" s="907">
        <v>16320</v>
      </c>
      <c r="R1239" s="890"/>
    </row>
    <row r="1240" spans="1:18" s="276" customFormat="1" ht="36">
      <c r="A1240" s="908" t="s">
        <v>3199</v>
      </c>
      <c r="B1240" s="908" t="s">
        <v>1402</v>
      </c>
      <c r="C1240" s="912" t="s">
        <v>4243</v>
      </c>
      <c r="D1240" s="910" t="s">
        <v>3408</v>
      </c>
      <c r="E1240" s="907">
        <v>5500</v>
      </c>
      <c r="F1240" s="908">
        <v>43681676</v>
      </c>
      <c r="G1240" s="910" t="s">
        <v>3898</v>
      </c>
      <c r="H1240" s="911" t="s">
        <v>3323</v>
      </c>
      <c r="I1240" s="911" t="s">
        <v>1411</v>
      </c>
      <c r="J1240" s="910" t="s">
        <v>3815</v>
      </c>
      <c r="K1240" s="909">
        <v>3</v>
      </c>
      <c r="L1240" s="909">
        <v>8</v>
      </c>
      <c r="M1240" s="907">
        <v>44000</v>
      </c>
      <c r="N1240" s="908">
        <v>1</v>
      </c>
      <c r="O1240" s="908">
        <v>5</v>
      </c>
      <c r="P1240" s="907">
        <v>27500</v>
      </c>
      <c r="R1240" s="890"/>
    </row>
    <row r="1241" spans="1:18" s="276" customFormat="1" ht="36">
      <c r="A1241" s="908" t="s">
        <v>3199</v>
      </c>
      <c r="B1241" s="908" t="s">
        <v>1402</v>
      </c>
      <c r="C1241" s="912" t="s">
        <v>4243</v>
      </c>
      <c r="D1241" s="910" t="s">
        <v>3408</v>
      </c>
      <c r="E1241" s="907">
        <v>3500</v>
      </c>
      <c r="F1241" s="908">
        <v>73612841</v>
      </c>
      <c r="G1241" s="910" t="s">
        <v>3899</v>
      </c>
      <c r="H1241" s="911" t="s">
        <v>3323</v>
      </c>
      <c r="I1241" s="911" t="s">
        <v>1411</v>
      </c>
      <c r="J1241" s="910" t="s">
        <v>3830</v>
      </c>
      <c r="K1241" s="909">
        <v>3</v>
      </c>
      <c r="L1241" s="909">
        <v>8</v>
      </c>
      <c r="M1241" s="907">
        <v>28000</v>
      </c>
      <c r="N1241" s="908">
        <v>1</v>
      </c>
      <c r="O1241" s="908">
        <v>3</v>
      </c>
      <c r="P1241" s="907">
        <v>10500</v>
      </c>
      <c r="R1241" s="890"/>
    </row>
    <row r="1242" spans="1:18" s="276" customFormat="1" ht="36">
      <c r="A1242" s="908" t="s">
        <v>3199</v>
      </c>
      <c r="B1242" s="908" t="s">
        <v>1402</v>
      </c>
      <c r="C1242" s="912" t="s">
        <v>4243</v>
      </c>
      <c r="D1242" s="910" t="s">
        <v>3408</v>
      </c>
      <c r="E1242" s="907">
        <v>6000</v>
      </c>
      <c r="F1242" s="908">
        <v>40771001</v>
      </c>
      <c r="G1242" s="910" t="s">
        <v>3900</v>
      </c>
      <c r="H1242" s="911" t="s">
        <v>3323</v>
      </c>
      <c r="I1242" s="911" t="s">
        <v>1411</v>
      </c>
      <c r="J1242" s="910" t="s">
        <v>3815</v>
      </c>
      <c r="K1242" s="909">
        <v>2</v>
      </c>
      <c r="L1242" s="909">
        <v>9</v>
      </c>
      <c r="M1242" s="907">
        <v>54000</v>
      </c>
      <c r="N1242" s="908">
        <v>1</v>
      </c>
      <c r="O1242" s="908">
        <v>4</v>
      </c>
      <c r="P1242" s="907">
        <v>24000</v>
      </c>
      <c r="R1242" s="890"/>
    </row>
    <row r="1243" spans="1:18" s="276" customFormat="1" ht="36">
      <c r="A1243" s="908" t="s">
        <v>3199</v>
      </c>
      <c r="B1243" s="908" t="s">
        <v>1402</v>
      </c>
      <c r="C1243" s="912" t="s">
        <v>4243</v>
      </c>
      <c r="D1243" s="910" t="s">
        <v>3811</v>
      </c>
      <c r="E1243" s="907">
        <v>4000</v>
      </c>
      <c r="F1243" s="908">
        <v>46805552</v>
      </c>
      <c r="G1243" s="910" t="s">
        <v>3901</v>
      </c>
      <c r="H1243" s="911" t="s">
        <v>2454</v>
      </c>
      <c r="I1243" s="911" t="s">
        <v>1411</v>
      </c>
      <c r="J1243" s="910" t="s">
        <v>3093</v>
      </c>
      <c r="K1243" s="909">
        <v>1</v>
      </c>
      <c r="L1243" s="909">
        <v>2</v>
      </c>
      <c r="M1243" s="907">
        <v>8000</v>
      </c>
      <c r="N1243" s="908"/>
      <c r="O1243" s="908"/>
      <c r="P1243" s="907"/>
      <c r="R1243" s="890"/>
    </row>
    <row r="1244" spans="1:18" s="276" customFormat="1" ht="36">
      <c r="A1244" s="908" t="s">
        <v>3199</v>
      </c>
      <c r="B1244" s="908" t="s">
        <v>1402</v>
      </c>
      <c r="C1244" s="912" t="s">
        <v>4243</v>
      </c>
      <c r="D1244" s="910" t="s">
        <v>3318</v>
      </c>
      <c r="E1244" s="907">
        <v>5500</v>
      </c>
      <c r="F1244" s="908">
        <v>44270086</v>
      </c>
      <c r="G1244" s="910" t="s">
        <v>3902</v>
      </c>
      <c r="H1244" s="911" t="s">
        <v>3903</v>
      </c>
      <c r="I1244" s="911" t="s">
        <v>1411</v>
      </c>
      <c r="J1244" s="910" t="s">
        <v>3815</v>
      </c>
      <c r="K1244" s="909">
        <v>2</v>
      </c>
      <c r="L1244" s="909">
        <v>8</v>
      </c>
      <c r="M1244" s="907">
        <v>44000</v>
      </c>
      <c r="N1244" s="908">
        <v>1</v>
      </c>
      <c r="O1244" s="908">
        <v>5</v>
      </c>
      <c r="P1244" s="907">
        <v>27500</v>
      </c>
      <c r="R1244" s="890"/>
    </row>
    <row r="1245" spans="1:18" s="276" customFormat="1" ht="36">
      <c r="A1245" s="908" t="s">
        <v>3199</v>
      </c>
      <c r="B1245" s="908" t="s">
        <v>1402</v>
      </c>
      <c r="C1245" s="912" t="s">
        <v>4243</v>
      </c>
      <c r="D1245" s="910" t="s">
        <v>3904</v>
      </c>
      <c r="E1245" s="907">
        <v>2500</v>
      </c>
      <c r="F1245" s="908">
        <v>48129504</v>
      </c>
      <c r="G1245" s="910" t="s">
        <v>3905</v>
      </c>
      <c r="H1245" s="911" t="s">
        <v>3906</v>
      </c>
      <c r="I1245" s="911" t="s">
        <v>1411</v>
      </c>
      <c r="J1245" s="910" t="s">
        <v>3907</v>
      </c>
      <c r="K1245" s="909">
        <v>1</v>
      </c>
      <c r="L1245" s="909">
        <v>7</v>
      </c>
      <c r="M1245" s="907">
        <v>17500</v>
      </c>
      <c r="N1245" s="908">
        <v>1</v>
      </c>
      <c r="O1245" s="908">
        <v>5</v>
      </c>
      <c r="P1245" s="907">
        <v>12500</v>
      </c>
      <c r="R1245" s="890"/>
    </row>
    <row r="1246" spans="1:18" s="276" customFormat="1" ht="36">
      <c r="A1246" s="908" t="s">
        <v>3199</v>
      </c>
      <c r="B1246" s="908" t="s">
        <v>1402</v>
      </c>
      <c r="C1246" s="912" t="s">
        <v>4243</v>
      </c>
      <c r="D1246" s="910" t="s">
        <v>3577</v>
      </c>
      <c r="E1246" s="907">
        <v>3000</v>
      </c>
      <c r="F1246" s="908">
        <v>46541328</v>
      </c>
      <c r="G1246" s="910" t="s">
        <v>3908</v>
      </c>
      <c r="H1246" s="911" t="s">
        <v>1410</v>
      </c>
      <c r="I1246" s="911" t="s">
        <v>1411</v>
      </c>
      <c r="J1246" s="910" t="s">
        <v>3858</v>
      </c>
      <c r="K1246" s="909">
        <v>2</v>
      </c>
      <c r="L1246" s="909">
        <v>6</v>
      </c>
      <c r="M1246" s="907">
        <v>18000</v>
      </c>
      <c r="N1246" s="908">
        <v>1</v>
      </c>
      <c r="O1246" s="908">
        <v>3</v>
      </c>
      <c r="P1246" s="907">
        <v>9000</v>
      </c>
      <c r="R1246" s="890"/>
    </row>
    <row r="1247" spans="1:18" s="276" customFormat="1" ht="36">
      <c r="A1247" s="908" t="s">
        <v>3199</v>
      </c>
      <c r="B1247" s="908" t="s">
        <v>1402</v>
      </c>
      <c r="C1247" s="912" t="s">
        <v>4243</v>
      </c>
      <c r="D1247" s="910" t="s">
        <v>3318</v>
      </c>
      <c r="E1247" s="907">
        <v>3500</v>
      </c>
      <c r="F1247" s="908">
        <v>70816570</v>
      </c>
      <c r="G1247" s="910" t="s">
        <v>3909</v>
      </c>
      <c r="H1247" s="911" t="s">
        <v>3910</v>
      </c>
      <c r="I1247" s="911" t="s">
        <v>1411</v>
      </c>
      <c r="J1247" s="910" t="s">
        <v>3830</v>
      </c>
      <c r="K1247" s="909">
        <v>2</v>
      </c>
      <c r="L1247" s="909">
        <v>10</v>
      </c>
      <c r="M1247" s="907">
        <v>35000</v>
      </c>
      <c r="N1247" s="908">
        <v>1</v>
      </c>
      <c r="O1247" s="908">
        <v>5</v>
      </c>
      <c r="P1247" s="907">
        <v>17500</v>
      </c>
      <c r="R1247" s="890"/>
    </row>
    <row r="1248" spans="1:18" s="276" customFormat="1" ht="36">
      <c r="A1248" s="908" t="s">
        <v>3199</v>
      </c>
      <c r="B1248" s="908" t="s">
        <v>1402</v>
      </c>
      <c r="C1248" s="912" t="s">
        <v>4243</v>
      </c>
      <c r="D1248" s="910" t="s">
        <v>3408</v>
      </c>
      <c r="E1248" s="907">
        <v>6000</v>
      </c>
      <c r="F1248" s="908">
        <v>29531196</v>
      </c>
      <c r="G1248" s="910" t="s">
        <v>3911</v>
      </c>
      <c r="H1248" s="911" t="s">
        <v>3323</v>
      </c>
      <c r="I1248" s="911" t="s">
        <v>1411</v>
      </c>
      <c r="J1248" s="910" t="s">
        <v>1795</v>
      </c>
      <c r="K1248" s="909">
        <v>1</v>
      </c>
      <c r="L1248" s="909">
        <v>6</v>
      </c>
      <c r="M1248" s="907">
        <v>30000</v>
      </c>
      <c r="N1248" s="908"/>
      <c r="O1248" s="908"/>
      <c r="P1248" s="907"/>
      <c r="R1248" s="890"/>
    </row>
    <row r="1249" spans="1:18" s="276" customFormat="1" ht="36">
      <c r="A1249" s="908" t="s">
        <v>3199</v>
      </c>
      <c r="B1249" s="908" t="s">
        <v>1402</v>
      </c>
      <c r="C1249" s="912" t="s">
        <v>4243</v>
      </c>
      <c r="D1249" s="910" t="s">
        <v>3700</v>
      </c>
      <c r="E1249" s="907">
        <v>2500</v>
      </c>
      <c r="F1249" s="908">
        <v>41563183</v>
      </c>
      <c r="G1249" s="910" t="s">
        <v>3912</v>
      </c>
      <c r="H1249" s="911" t="s">
        <v>3828</v>
      </c>
      <c r="I1249" s="911" t="s">
        <v>3828</v>
      </c>
      <c r="J1249" s="910" t="s">
        <v>3913</v>
      </c>
      <c r="K1249" s="909">
        <v>3</v>
      </c>
      <c r="L1249" s="909">
        <v>11</v>
      </c>
      <c r="M1249" s="907">
        <v>27500</v>
      </c>
      <c r="N1249" s="908">
        <v>1</v>
      </c>
      <c r="O1249" s="908">
        <v>5</v>
      </c>
      <c r="P1249" s="907">
        <v>10000</v>
      </c>
      <c r="R1249" s="890"/>
    </row>
    <row r="1250" spans="1:18" s="276" customFormat="1" ht="48">
      <c r="A1250" s="908" t="s">
        <v>3199</v>
      </c>
      <c r="B1250" s="908" t="s">
        <v>1402</v>
      </c>
      <c r="C1250" s="912" t="s">
        <v>4243</v>
      </c>
      <c r="D1250" s="910" t="s">
        <v>3318</v>
      </c>
      <c r="E1250" s="907">
        <v>5500</v>
      </c>
      <c r="F1250" s="908">
        <v>46469588</v>
      </c>
      <c r="G1250" s="910" t="s">
        <v>3914</v>
      </c>
      <c r="H1250" s="911" t="s">
        <v>3910</v>
      </c>
      <c r="I1250" s="911" t="s">
        <v>1411</v>
      </c>
      <c r="J1250" s="910" t="s">
        <v>3915</v>
      </c>
      <c r="K1250" s="909">
        <v>2</v>
      </c>
      <c r="L1250" s="909">
        <v>9</v>
      </c>
      <c r="M1250" s="907">
        <v>49500</v>
      </c>
      <c r="N1250" s="908"/>
      <c r="O1250" s="908"/>
      <c r="P1250" s="907"/>
      <c r="R1250" s="890"/>
    </row>
    <row r="1251" spans="1:18" s="276" customFormat="1" ht="36">
      <c r="A1251" s="908" t="s">
        <v>3199</v>
      </c>
      <c r="B1251" s="908" t="s">
        <v>1402</v>
      </c>
      <c r="C1251" s="912" t="s">
        <v>4243</v>
      </c>
      <c r="D1251" s="910" t="s">
        <v>3729</v>
      </c>
      <c r="E1251" s="907">
        <v>3500</v>
      </c>
      <c r="F1251" s="908">
        <v>42463477</v>
      </c>
      <c r="G1251" s="910" t="s">
        <v>3916</v>
      </c>
      <c r="H1251" s="911" t="s">
        <v>3917</v>
      </c>
      <c r="I1251" s="911" t="s">
        <v>1411</v>
      </c>
      <c r="J1251" s="910" t="s">
        <v>3918</v>
      </c>
      <c r="K1251" s="909">
        <v>2</v>
      </c>
      <c r="L1251" s="909">
        <v>9</v>
      </c>
      <c r="M1251" s="907">
        <v>31500</v>
      </c>
      <c r="N1251" s="908"/>
      <c r="O1251" s="908"/>
      <c r="P1251" s="907"/>
      <c r="R1251" s="890"/>
    </row>
    <row r="1252" spans="1:18" s="276" customFormat="1" ht="36">
      <c r="A1252" s="908" t="s">
        <v>3199</v>
      </c>
      <c r="B1252" s="908" t="s">
        <v>1402</v>
      </c>
      <c r="C1252" s="912" t="s">
        <v>4243</v>
      </c>
      <c r="D1252" s="910" t="s">
        <v>3520</v>
      </c>
      <c r="E1252" s="907">
        <v>3500</v>
      </c>
      <c r="F1252" s="908" t="s">
        <v>3919</v>
      </c>
      <c r="G1252" s="910" t="s">
        <v>3920</v>
      </c>
      <c r="H1252" s="911" t="s">
        <v>3323</v>
      </c>
      <c r="I1252" s="911" t="s">
        <v>1411</v>
      </c>
      <c r="J1252" s="910" t="s">
        <v>1795</v>
      </c>
      <c r="K1252" s="909">
        <v>1</v>
      </c>
      <c r="L1252" s="909">
        <v>2</v>
      </c>
      <c r="M1252" s="907">
        <v>7000</v>
      </c>
      <c r="N1252" s="908"/>
      <c r="O1252" s="908"/>
      <c r="P1252" s="907"/>
      <c r="R1252" s="890"/>
    </row>
    <row r="1253" spans="1:18" s="276" customFormat="1" ht="36">
      <c r="A1253" s="908" t="s">
        <v>3199</v>
      </c>
      <c r="B1253" s="908" t="s">
        <v>1402</v>
      </c>
      <c r="C1253" s="912" t="s">
        <v>4243</v>
      </c>
      <c r="D1253" s="910" t="s">
        <v>3318</v>
      </c>
      <c r="E1253" s="907">
        <v>3500</v>
      </c>
      <c r="F1253" s="908">
        <v>74499240</v>
      </c>
      <c r="G1253" s="910" t="s">
        <v>3921</v>
      </c>
      <c r="H1253" s="911" t="s">
        <v>3922</v>
      </c>
      <c r="I1253" s="911" t="s">
        <v>1411</v>
      </c>
      <c r="J1253" s="910" t="s">
        <v>3923</v>
      </c>
      <c r="K1253" s="909">
        <v>2</v>
      </c>
      <c r="L1253" s="909">
        <v>4</v>
      </c>
      <c r="M1253" s="907">
        <v>14000</v>
      </c>
      <c r="N1253" s="908">
        <v>2</v>
      </c>
      <c r="O1253" s="908">
        <v>3</v>
      </c>
      <c r="P1253" s="907">
        <v>10500</v>
      </c>
      <c r="R1253" s="890"/>
    </row>
    <row r="1254" spans="1:18" s="276" customFormat="1" ht="36">
      <c r="A1254" s="908" t="s">
        <v>3199</v>
      </c>
      <c r="B1254" s="908" t="s">
        <v>1402</v>
      </c>
      <c r="C1254" s="912" t="s">
        <v>4243</v>
      </c>
      <c r="D1254" s="910" t="s">
        <v>3408</v>
      </c>
      <c r="E1254" s="907">
        <v>3500</v>
      </c>
      <c r="F1254" s="908">
        <v>46600130</v>
      </c>
      <c r="G1254" s="910" t="s">
        <v>3924</v>
      </c>
      <c r="H1254" s="911" t="s">
        <v>3323</v>
      </c>
      <c r="I1254" s="911" t="s">
        <v>1411</v>
      </c>
      <c r="J1254" s="910" t="s">
        <v>1795</v>
      </c>
      <c r="K1254" s="909">
        <v>3</v>
      </c>
      <c r="L1254" s="909">
        <v>9</v>
      </c>
      <c r="M1254" s="907">
        <v>31500</v>
      </c>
      <c r="N1254" s="908"/>
      <c r="O1254" s="908"/>
      <c r="P1254" s="907"/>
      <c r="R1254" s="890"/>
    </row>
    <row r="1255" spans="1:18" s="276" customFormat="1" ht="36">
      <c r="A1255" s="908" t="s">
        <v>3199</v>
      </c>
      <c r="B1255" s="908" t="s">
        <v>1402</v>
      </c>
      <c r="C1255" s="912" t="s">
        <v>4243</v>
      </c>
      <c r="D1255" s="910" t="s">
        <v>3465</v>
      </c>
      <c r="E1255" s="907">
        <v>2500</v>
      </c>
      <c r="F1255" s="908" t="s">
        <v>3925</v>
      </c>
      <c r="G1255" s="910" t="s">
        <v>3926</v>
      </c>
      <c r="H1255" s="911" t="s">
        <v>3927</v>
      </c>
      <c r="I1255" s="911" t="s">
        <v>1411</v>
      </c>
      <c r="J1255" s="910" t="s">
        <v>3928</v>
      </c>
      <c r="K1255" s="909"/>
      <c r="L1255" s="909"/>
      <c r="M1255" s="907"/>
      <c r="N1255" s="908">
        <v>1</v>
      </c>
      <c r="O1255" s="908">
        <v>5</v>
      </c>
      <c r="P1255" s="907">
        <v>12500</v>
      </c>
      <c r="R1255" s="890"/>
    </row>
    <row r="1256" spans="1:18" s="276" customFormat="1" ht="36">
      <c r="A1256" s="908" t="s">
        <v>3199</v>
      </c>
      <c r="B1256" s="908" t="s">
        <v>1402</v>
      </c>
      <c r="C1256" s="912" t="s">
        <v>4243</v>
      </c>
      <c r="D1256" s="910" t="s">
        <v>3929</v>
      </c>
      <c r="E1256" s="907">
        <v>2800</v>
      </c>
      <c r="F1256" s="908">
        <v>10139915</v>
      </c>
      <c r="G1256" s="910" t="s">
        <v>3930</v>
      </c>
      <c r="H1256" s="911" t="s">
        <v>1565</v>
      </c>
      <c r="I1256" s="911" t="s">
        <v>1411</v>
      </c>
      <c r="J1256" s="910" t="s">
        <v>3096</v>
      </c>
      <c r="K1256" s="909">
        <v>3</v>
      </c>
      <c r="L1256" s="909">
        <v>11</v>
      </c>
      <c r="M1256" s="907">
        <v>30800</v>
      </c>
      <c r="N1256" s="908">
        <v>1</v>
      </c>
      <c r="O1256" s="908">
        <v>5</v>
      </c>
      <c r="P1256" s="907">
        <v>14000</v>
      </c>
      <c r="R1256" s="890"/>
    </row>
    <row r="1257" spans="1:18" s="276" customFormat="1" ht="36">
      <c r="A1257" s="908" t="s">
        <v>3199</v>
      </c>
      <c r="B1257" s="908" t="s">
        <v>1402</v>
      </c>
      <c r="C1257" s="912" t="s">
        <v>4243</v>
      </c>
      <c r="D1257" s="910" t="s">
        <v>3604</v>
      </c>
      <c r="E1257" s="907">
        <v>2800</v>
      </c>
      <c r="F1257" s="908">
        <v>40049799</v>
      </c>
      <c r="G1257" s="910" t="s">
        <v>3931</v>
      </c>
      <c r="H1257" s="911" t="s">
        <v>3932</v>
      </c>
      <c r="I1257" s="911" t="s">
        <v>1411</v>
      </c>
      <c r="J1257" s="910" t="s">
        <v>3933</v>
      </c>
      <c r="K1257" s="909">
        <v>2</v>
      </c>
      <c r="L1257" s="909">
        <v>11</v>
      </c>
      <c r="M1257" s="907">
        <v>30800</v>
      </c>
      <c r="N1257" s="908">
        <v>1</v>
      </c>
      <c r="O1257" s="908">
        <v>5</v>
      </c>
      <c r="P1257" s="907">
        <v>14000</v>
      </c>
      <c r="R1257" s="890"/>
    </row>
    <row r="1258" spans="1:18" s="276" customFormat="1" ht="36">
      <c r="A1258" s="908" t="s">
        <v>3199</v>
      </c>
      <c r="B1258" s="908" t="s">
        <v>1402</v>
      </c>
      <c r="C1258" s="912" t="s">
        <v>4243</v>
      </c>
      <c r="D1258" s="910" t="s">
        <v>3318</v>
      </c>
      <c r="E1258" s="907">
        <v>5500</v>
      </c>
      <c r="F1258" s="908" t="s">
        <v>3934</v>
      </c>
      <c r="G1258" s="910" t="s">
        <v>3935</v>
      </c>
      <c r="H1258" s="911" t="s">
        <v>3323</v>
      </c>
      <c r="I1258" s="911" t="s">
        <v>1411</v>
      </c>
      <c r="J1258" s="910" t="s">
        <v>3815</v>
      </c>
      <c r="K1258" s="909"/>
      <c r="L1258" s="909"/>
      <c r="M1258" s="907"/>
      <c r="N1258" s="908">
        <v>1</v>
      </c>
      <c r="O1258" s="908">
        <v>2</v>
      </c>
      <c r="P1258" s="907">
        <v>11000</v>
      </c>
      <c r="R1258" s="890"/>
    </row>
    <row r="1259" spans="1:18" s="276" customFormat="1" ht="36">
      <c r="A1259" s="908" t="s">
        <v>3199</v>
      </c>
      <c r="B1259" s="908" t="s">
        <v>1402</v>
      </c>
      <c r="C1259" s="912" t="s">
        <v>4243</v>
      </c>
      <c r="D1259" s="910" t="s">
        <v>3604</v>
      </c>
      <c r="E1259" s="907">
        <v>2000</v>
      </c>
      <c r="F1259" s="908" t="s">
        <v>3936</v>
      </c>
      <c r="G1259" s="910" t="s">
        <v>3937</v>
      </c>
      <c r="H1259" s="911" t="s">
        <v>2743</v>
      </c>
      <c r="I1259" s="911" t="s">
        <v>1411</v>
      </c>
      <c r="J1259" s="910" t="s">
        <v>3938</v>
      </c>
      <c r="K1259" s="909">
        <v>2</v>
      </c>
      <c r="L1259" s="909">
        <v>4</v>
      </c>
      <c r="M1259" s="907">
        <v>8000</v>
      </c>
      <c r="N1259" s="908">
        <v>1</v>
      </c>
      <c r="O1259" s="908">
        <v>5</v>
      </c>
      <c r="P1259" s="907">
        <v>10000</v>
      </c>
      <c r="R1259" s="890"/>
    </row>
    <row r="1260" spans="1:18" s="276" customFormat="1" ht="36">
      <c r="A1260" s="908" t="s">
        <v>3199</v>
      </c>
      <c r="B1260" s="908" t="s">
        <v>1402</v>
      </c>
      <c r="C1260" s="912" t="s">
        <v>4243</v>
      </c>
      <c r="D1260" s="910" t="s">
        <v>3465</v>
      </c>
      <c r="E1260" s="907">
        <v>2860</v>
      </c>
      <c r="F1260" s="908">
        <v>43219654</v>
      </c>
      <c r="G1260" s="910" t="s">
        <v>3939</v>
      </c>
      <c r="H1260" s="911" t="s">
        <v>1407</v>
      </c>
      <c r="I1260" s="911" t="s">
        <v>1411</v>
      </c>
      <c r="J1260" s="910" t="s">
        <v>3940</v>
      </c>
      <c r="K1260" s="909">
        <v>3</v>
      </c>
      <c r="L1260" s="909">
        <v>5</v>
      </c>
      <c r="M1260" s="907">
        <v>14300</v>
      </c>
      <c r="N1260" s="908"/>
      <c r="O1260" s="908"/>
      <c r="P1260" s="907"/>
      <c r="R1260" s="890"/>
    </row>
    <row r="1261" spans="1:18" s="276" customFormat="1" ht="36">
      <c r="A1261" s="908" t="s">
        <v>3199</v>
      </c>
      <c r="B1261" s="908" t="s">
        <v>1402</v>
      </c>
      <c r="C1261" s="912" t="s">
        <v>4243</v>
      </c>
      <c r="D1261" s="910" t="s">
        <v>3408</v>
      </c>
      <c r="E1261" s="907">
        <v>3500</v>
      </c>
      <c r="F1261" s="908">
        <v>41968676</v>
      </c>
      <c r="G1261" s="910" t="s">
        <v>3941</v>
      </c>
      <c r="H1261" s="911" t="s">
        <v>3323</v>
      </c>
      <c r="I1261" s="911" t="s">
        <v>1411</v>
      </c>
      <c r="J1261" s="910" t="s">
        <v>3830</v>
      </c>
      <c r="K1261" s="909">
        <v>2</v>
      </c>
      <c r="L1261" s="909">
        <v>8</v>
      </c>
      <c r="M1261" s="907">
        <v>28000</v>
      </c>
      <c r="N1261" s="908">
        <v>1</v>
      </c>
      <c r="O1261" s="908">
        <v>4</v>
      </c>
      <c r="P1261" s="907">
        <v>14000</v>
      </c>
      <c r="R1261" s="890"/>
    </row>
    <row r="1262" spans="1:18" s="276" customFormat="1" ht="36">
      <c r="A1262" s="908" t="s">
        <v>3199</v>
      </c>
      <c r="B1262" s="908" t="s">
        <v>1402</v>
      </c>
      <c r="C1262" s="912" t="s">
        <v>4243</v>
      </c>
      <c r="D1262" s="910" t="s">
        <v>3729</v>
      </c>
      <c r="E1262" s="907">
        <v>6500</v>
      </c>
      <c r="F1262" s="908">
        <v>10286290</v>
      </c>
      <c r="G1262" s="910" t="s">
        <v>3942</v>
      </c>
      <c r="H1262" s="911" t="s">
        <v>3903</v>
      </c>
      <c r="I1262" s="911" t="s">
        <v>1411</v>
      </c>
      <c r="J1262" s="910" t="s">
        <v>2920</v>
      </c>
      <c r="K1262" s="909">
        <v>3</v>
      </c>
      <c r="L1262" s="909">
        <v>4</v>
      </c>
      <c r="M1262" s="907">
        <v>26000</v>
      </c>
      <c r="N1262" s="908">
        <v>2</v>
      </c>
      <c r="O1262" s="908">
        <v>5</v>
      </c>
      <c r="P1262" s="907">
        <v>32500</v>
      </c>
      <c r="R1262" s="890"/>
    </row>
    <row r="1263" spans="1:18" s="276" customFormat="1" ht="36">
      <c r="A1263" s="908" t="s">
        <v>3199</v>
      </c>
      <c r="B1263" s="908" t="s">
        <v>1402</v>
      </c>
      <c r="C1263" s="912" t="s">
        <v>4243</v>
      </c>
      <c r="D1263" s="910" t="s">
        <v>3318</v>
      </c>
      <c r="E1263" s="907">
        <v>3000</v>
      </c>
      <c r="F1263" s="908">
        <v>73195029</v>
      </c>
      <c r="G1263" s="910" t="s">
        <v>3943</v>
      </c>
      <c r="H1263" s="911" t="s">
        <v>3910</v>
      </c>
      <c r="I1263" s="911" t="s">
        <v>1411</v>
      </c>
      <c r="J1263" s="910" t="s">
        <v>3815</v>
      </c>
      <c r="K1263" s="909">
        <v>2</v>
      </c>
      <c r="L1263" s="909">
        <v>9</v>
      </c>
      <c r="M1263" s="907">
        <v>27000</v>
      </c>
      <c r="N1263" s="908"/>
      <c r="O1263" s="908"/>
      <c r="P1263" s="907"/>
      <c r="R1263" s="890"/>
    </row>
    <row r="1264" spans="1:18" s="276" customFormat="1" ht="36">
      <c r="A1264" s="908" t="s">
        <v>3199</v>
      </c>
      <c r="B1264" s="908" t="s">
        <v>1402</v>
      </c>
      <c r="C1264" s="912" t="s">
        <v>4243</v>
      </c>
      <c r="D1264" s="910" t="s">
        <v>3826</v>
      </c>
      <c r="E1264" s="907">
        <v>1500</v>
      </c>
      <c r="F1264" s="908">
        <v>20011004</v>
      </c>
      <c r="G1264" s="910" t="s">
        <v>3944</v>
      </c>
      <c r="H1264" s="911" t="s">
        <v>3828</v>
      </c>
      <c r="I1264" s="911" t="s">
        <v>3828</v>
      </c>
      <c r="J1264" s="910" t="s">
        <v>3828</v>
      </c>
      <c r="K1264" s="909">
        <v>1</v>
      </c>
      <c r="L1264" s="909">
        <v>3</v>
      </c>
      <c r="M1264" s="907">
        <v>4500</v>
      </c>
      <c r="N1264" s="908"/>
      <c r="O1264" s="908"/>
      <c r="P1264" s="907"/>
      <c r="R1264" s="890"/>
    </row>
    <row r="1265" spans="1:18" s="276" customFormat="1" ht="36">
      <c r="A1265" s="908" t="s">
        <v>3199</v>
      </c>
      <c r="B1265" s="908" t="s">
        <v>1402</v>
      </c>
      <c r="C1265" s="912" t="s">
        <v>4243</v>
      </c>
      <c r="D1265" s="910" t="s">
        <v>3520</v>
      </c>
      <c r="E1265" s="907">
        <v>3500</v>
      </c>
      <c r="F1265" s="908">
        <v>76132061</v>
      </c>
      <c r="G1265" s="910" t="s">
        <v>3945</v>
      </c>
      <c r="H1265" s="911" t="s">
        <v>3323</v>
      </c>
      <c r="I1265" s="911" t="s">
        <v>1411</v>
      </c>
      <c r="J1265" s="910" t="s">
        <v>3946</v>
      </c>
      <c r="K1265" s="909">
        <v>1</v>
      </c>
      <c r="L1265" s="909">
        <v>5</v>
      </c>
      <c r="M1265" s="907">
        <v>17500</v>
      </c>
      <c r="N1265" s="908">
        <v>1</v>
      </c>
      <c r="O1265" s="908">
        <v>3</v>
      </c>
      <c r="P1265" s="907">
        <v>10500</v>
      </c>
      <c r="R1265" s="890"/>
    </row>
    <row r="1266" spans="1:18" s="276" customFormat="1" ht="36">
      <c r="A1266" s="908" t="s">
        <v>3199</v>
      </c>
      <c r="B1266" s="908" t="s">
        <v>1402</v>
      </c>
      <c r="C1266" s="912" t="s">
        <v>4243</v>
      </c>
      <c r="D1266" s="910" t="s">
        <v>3408</v>
      </c>
      <c r="E1266" s="907">
        <v>3500</v>
      </c>
      <c r="F1266" s="908" t="s">
        <v>3947</v>
      </c>
      <c r="G1266" s="910" t="s">
        <v>3948</v>
      </c>
      <c r="H1266" s="911" t="s">
        <v>3323</v>
      </c>
      <c r="I1266" s="911" t="s">
        <v>1411</v>
      </c>
      <c r="J1266" s="910" t="s">
        <v>3830</v>
      </c>
      <c r="K1266" s="909"/>
      <c r="L1266" s="909"/>
      <c r="M1266" s="907"/>
      <c r="N1266" s="908">
        <v>1</v>
      </c>
      <c r="O1266" s="908">
        <v>4</v>
      </c>
      <c r="P1266" s="907">
        <v>14000</v>
      </c>
      <c r="R1266" s="890"/>
    </row>
    <row r="1267" spans="1:18" s="276" customFormat="1" ht="36">
      <c r="A1267" s="908" t="s">
        <v>3199</v>
      </c>
      <c r="B1267" s="908" t="s">
        <v>1402</v>
      </c>
      <c r="C1267" s="912" t="s">
        <v>4243</v>
      </c>
      <c r="D1267" s="910" t="s">
        <v>3700</v>
      </c>
      <c r="E1267" s="907">
        <v>2000</v>
      </c>
      <c r="F1267" s="908">
        <v>42744390</v>
      </c>
      <c r="G1267" s="910" t="s">
        <v>3949</v>
      </c>
      <c r="H1267" s="911" t="s">
        <v>3828</v>
      </c>
      <c r="I1267" s="911" t="s">
        <v>3828</v>
      </c>
      <c r="J1267" s="910" t="s">
        <v>3828</v>
      </c>
      <c r="K1267" s="909">
        <v>1</v>
      </c>
      <c r="L1267" s="909">
        <v>3</v>
      </c>
      <c r="M1267" s="907">
        <v>6000</v>
      </c>
      <c r="N1267" s="908"/>
      <c r="O1267" s="908"/>
      <c r="P1267" s="907"/>
      <c r="R1267" s="890"/>
    </row>
    <row r="1268" spans="1:18" s="276" customFormat="1" ht="36">
      <c r="A1268" s="908" t="s">
        <v>3199</v>
      </c>
      <c r="B1268" s="908" t="s">
        <v>1402</v>
      </c>
      <c r="C1268" s="912" t="s">
        <v>4243</v>
      </c>
      <c r="D1268" s="910" t="s">
        <v>3826</v>
      </c>
      <c r="E1268" s="907">
        <v>1500</v>
      </c>
      <c r="F1268" s="908">
        <v>43891075</v>
      </c>
      <c r="G1268" s="910" t="s">
        <v>3950</v>
      </c>
      <c r="H1268" s="911" t="s">
        <v>782</v>
      </c>
      <c r="I1268" s="911" t="s">
        <v>782</v>
      </c>
      <c r="J1268" s="910" t="s">
        <v>2867</v>
      </c>
      <c r="K1268" s="909">
        <v>4</v>
      </c>
      <c r="L1268" s="909">
        <v>7</v>
      </c>
      <c r="M1268" s="907">
        <v>10500</v>
      </c>
      <c r="N1268" s="908">
        <v>1</v>
      </c>
      <c r="O1268" s="908">
        <v>5</v>
      </c>
      <c r="P1268" s="907">
        <v>7500</v>
      </c>
      <c r="R1268" s="890"/>
    </row>
    <row r="1269" spans="1:18" s="276" customFormat="1" ht="36">
      <c r="A1269" s="908" t="s">
        <v>3199</v>
      </c>
      <c r="B1269" s="908" t="s">
        <v>1402</v>
      </c>
      <c r="C1269" s="912" t="s">
        <v>4243</v>
      </c>
      <c r="D1269" s="910" t="s">
        <v>3520</v>
      </c>
      <c r="E1269" s="907">
        <v>3500</v>
      </c>
      <c r="F1269" s="908">
        <v>7197393</v>
      </c>
      <c r="G1269" s="910" t="s">
        <v>3951</v>
      </c>
      <c r="H1269" s="911" t="s">
        <v>3903</v>
      </c>
      <c r="I1269" s="911" t="s">
        <v>1411</v>
      </c>
      <c r="J1269" s="910" t="s">
        <v>3815</v>
      </c>
      <c r="K1269" s="909">
        <v>2</v>
      </c>
      <c r="L1269" s="909">
        <v>5</v>
      </c>
      <c r="M1269" s="907">
        <v>17500</v>
      </c>
      <c r="N1269" s="908"/>
      <c r="O1269" s="908"/>
      <c r="P1269" s="907"/>
      <c r="R1269" s="890"/>
    </row>
    <row r="1270" spans="1:18" s="276" customFormat="1" ht="36">
      <c r="A1270" s="908" t="s">
        <v>3199</v>
      </c>
      <c r="B1270" s="908" t="s">
        <v>1402</v>
      </c>
      <c r="C1270" s="912" t="s">
        <v>4243</v>
      </c>
      <c r="D1270" s="910" t="s">
        <v>3318</v>
      </c>
      <c r="E1270" s="907">
        <v>5500</v>
      </c>
      <c r="F1270" s="908">
        <v>45984145</v>
      </c>
      <c r="G1270" s="910" t="s">
        <v>3952</v>
      </c>
      <c r="H1270" s="911" t="s">
        <v>2743</v>
      </c>
      <c r="I1270" s="911" t="s">
        <v>1411</v>
      </c>
      <c r="J1270" s="910" t="s">
        <v>3815</v>
      </c>
      <c r="K1270" s="909">
        <v>2</v>
      </c>
      <c r="L1270" s="909">
        <v>5</v>
      </c>
      <c r="M1270" s="907">
        <v>27500</v>
      </c>
      <c r="N1270" s="908">
        <v>1</v>
      </c>
      <c r="O1270" s="908">
        <v>5</v>
      </c>
      <c r="P1270" s="907">
        <v>27500</v>
      </c>
      <c r="R1270" s="890"/>
    </row>
    <row r="1271" spans="1:18" s="276" customFormat="1" ht="36">
      <c r="A1271" s="908" t="s">
        <v>3199</v>
      </c>
      <c r="B1271" s="908" t="s">
        <v>1402</v>
      </c>
      <c r="C1271" s="912" t="s">
        <v>4243</v>
      </c>
      <c r="D1271" s="910" t="s">
        <v>3520</v>
      </c>
      <c r="E1271" s="907">
        <v>5000</v>
      </c>
      <c r="F1271" s="908">
        <v>41497169</v>
      </c>
      <c r="G1271" s="910" t="s">
        <v>3953</v>
      </c>
      <c r="H1271" s="911" t="s">
        <v>1570</v>
      </c>
      <c r="I1271" s="911" t="s">
        <v>1411</v>
      </c>
      <c r="J1271" s="910" t="s">
        <v>3954</v>
      </c>
      <c r="K1271" s="909">
        <v>1</v>
      </c>
      <c r="L1271" s="909">
        <v>2</v>
      </c>
      <c r="M1271" s="907">
        <v>10000</v>
      </c>
      <c r="N1271" s="908"/>
      <c r="O1271" s="908"/>
      <c r="P1271" s="907"/>
      <c r="R1271" s="890"/>
    </row>
    <row r="1272" spans="1:18" s="276" customFormat="1" ht="36">
      <c r="A1272" s="908" t="s">
        <v>3199</v>
      </c>
      <c r="B1272" s="908" t="s">
        <v>1402</v>
      </c>
      <c r="C1272" s="912" t="s">
        <v>4243</v>
      </c>
      <c r="D1272" s="910" t="s">
        <v>3729</v>
      </c>
      <c r="E1272" s="907">
        <v>4500</v>
      </c>
      <c r="F1272" s="908">
        <v>40704421</v>
      </c>
      <c r="G1272" s="910" t="s">
        <v>3955</v>
      </c>
      <c r="H1272" s="911" t="s">
        <v>3956</v>
      </c>
      <c r="I1272" s="911" t="s">
        <v>1411</v>
      </c>
      <c r="J1272" s="910" t="s">
        <v>2805</v>
      </c>
      <c r="K1272" s="909">
        <v>2</v>
      </c>
      <c r="L1272" s="909">
        <v>3</v>
      </c>
      <c r="M1272" s="907">
        <v>13500</v>
      </c>
      <c r="N1272" s="908"/>
      <c r="O1272" s="908"/>
      <c r="P1272" s="907"/>
      <c r="R1272" s="890"/>
    </row>
    <row r="1273" spans="1:18" s="276" customFormat="1" ht="36">
      <c r="A1273" s="908" t="s">
        <v>3199</v>
      </c>
      <c r="B1273" s="908" t="s">
        <v>1402</v>
      </c>
      <c r="C1273" s="912" t="s">
        <v>4243</v>
      </c>
      <c r="D1273" s="910" t="s">
        <v>3408</v>
      </c>
      <c r="E1273" s="907">
        <v>5000</v>
      </c>
      <c r="F1273" s="908">
        <v>45824632</v>
      </c>
      <c r="G1273" s="910" t="s">
        <v>3957</v>
      </c>
      <c r="H1273" s="911" t="s">
        <v>3323</v>
      </c>
      <c r="I1273" s="911" t="s">
        <v>1411</v>
      </c>
      <c r="J1273" s="910" t="s">
        <v>3830</v>
      </c>
      <c r="K1273" s="909">
        <v>2</v>
      </c>
      <c r="L1273" s="909">
        <v>9</v>
      </c>
      <c r="M1273" s="907">
        <v>45000</v>
      </c>
      <c r="N1273" s="908">
        <v>1</v>
      </c>
      <c r="O1273" s="908">
        <v>5</v>
      </c>
      <c r="P1273" s="907">
        <v>25000</v>
      </c>
      <c r="R1273" s="890"/>
    </row>
    <row r="1274" spans="1:18" s="276" customFormat="1" ht="36">
      <c r="A1274" s="908" t="s">
        <v>3199</v>
      </c>
      <c r="B1274" s="908" t="s">
        <v>1402</v>
      </c>
      <c r="C1274" s="912" t="s">
        <v>4243</v>
      </c>
      <c r="D1274" s="910" t="s">
        <v>3729</v>
      </c>
      <c r="E1274" s="907">
        <v>6500</v>
      </c>
      <c r="F1274" s="908">
        <v>15860015</v>
      </c>
      <c r="G1274" s="910" t="s">
        <v>3958</v>
      </c>
      <c r="H1274" s="911" t="s">
        <v>1414</v>
      </c>
      <c r="I1274" s="911" t="s">
        <v>1411</v>
      </c>
      <c r="J1274" s="910" t="s">
        <v>3599</v>
      </c>
      <c r="K1274" s="909"/>
      <c r="L1274" s="909"/>
      <c r="M1274" s="907"/>
      <c r="N1274" s="908">
        <v>2</v>
      </c>
      <c r="O1274" s="908">
        <v>5</v>
      </c>
      <c r="P1274" s="907">
        <v>32500</v>
      </c>
      <c r="R1274" s="890"/>
    </row>
    <row r="1275" spans="1:18" s="276" customFormat="1" ht="36">
      <c r="A1275" s="908" t="s">
        <v>3199</v>
      </c>
      <c r="B1275" s="908" t="s">
        <v>1402</v>
      </c>
      <c r="C1275" s="912" t="s">
        <v>4243</v>
      </c>
      <c r="D1275" s="910" t="s">
        <v>3408</v>
      </c>
      <c r="E1275" s="907">
        <v>3500</v>
      </c>
      <c r="F1275" s="908">
        <v>46135826</v>
      </c>
      <c r="G1275" s="910" t="s">
        <v>3959</v>
      </c>
      <c r="H1275" s="911" t="s">
        <v>3323</v>
      </c>
      <c r="I1275" s="911" t="s">
        <v>1411</v>
      </c>
      <c r="J1275" s="910" t="s">
        <v>3830</v>
      </c>
      <c r="K1275" s="909">
        <v>3</v>
      </c>
      <c r="L1275" s="909">
        <v>8</v>
      </c>
      <c r="M1275" s="907">
        <v>28000</v>
      </c>
      <c r="N1275" s="908">
        <v>1</v>
      </c>
      <c r="O1275" s="908">
        <v>5</v>
      </c>
      <c r="P1275" s="907">
        <v>17500</v>
      </c>
      <c r="R1275" s="890"/>
    </row>
    <row r="1276" spans="1:18" s="276" customFormat="1" ht="36">
      <c r="A1276" s="908" t="s">
        <v>3199</v>
      </c>
      <c r="B1276" s="908" t="s">
        <v>1402</v>
      </c>
      <c r="C1276" s="912" t="s">
        <v>4243</v>
      </c>
      <c r="D1276" s="910" t="s">
        <v>3408</v>
      </c>
      <c r="E1276" s="907">
        <v>4000</v>
      </c>
      <c r="F1276" s="908">
        <v>47034561</v>
      </c>
      <c r="G1276" s="910" t="s">
        <v>3960</v>
      </c>
      <c r="H1276" s="911" t="s">
        <v>3323</v>
      </c>
      <c r="I1276" s="911" t="s">
        <v>1411</v>
      </c>
      <c r="J1276" s="910" t="s">
        <v>3830</v>
      </c>
      <c r="K1276" s="909">
        <v>2</v>
      </c>
      <c r="L1276" s="909">
        <v>4</v>
      </c>
      <c r="M1276" s="907">
        <v>16000</v>
      </c>
      <c r="N1276" s="908"/>
      <c r="O1276" s="908"/>
      <c r="P1276" s="907"/>
      <c r="R1276" s="890"/>
    </row>
    <row r="1277" spans="1:18" s="276" customFormat="1" ht="36">
      <c r="A1277" s="908" t="s">
        <v>3199</v>
      </c>
      <c r="B1277" s="908" t="s">
        <v>1402</v>
      </c>
      <c r="C1277" s="912" t="s">
        <v>4243</v>
      </c>
      <c r="D1277" s="910" t="s">
        <v>3604</v>
      </c>
      <c r="E1277" s="907">
        <v>4000</v>
      </c>
      <c r="F1277" s="908">
        <v>46517053</v>
      </c>
      <c r="G1277" s="910" t="s">
        <v>3961</v>
      </c>
      <c r="H1277" s="911" t="s">
        <v>3962</v>
      </c>
      <c r="I1277" s="911" t="s">
        <v>1411</v>
      </c>
      <c r="J1277" s="910" t="s">
        <v>3963</v>
      </c>
      <c r="K1277" s="909"/>
      <c r="L1277" s="909"/>
      <c r="M1277" s="907"/>
      <c r="N1277" s="908">
        <v>1</v>
      </c>
      <c r="O1277" s="908">
        <v>3</v>
      </c>
      <c r="P1277" s="907">
        <v>12000</v>
      </c>
      <c r="R1277" s="890"/>
    </row>
    <row r="1278" spans="1:18" s="276" customFormat="1" ht="36">
      <c r="A1278" s="908" t="s">
        <v>3199</v>
      </c>
      <c r="B1278" s="908" t="s">
        <v>1402</v>
      </c>
      <c r="C1278" s="912" t="s">
        <v>4243</v>
      </c>
      <c r="D1278" s="910" t="s">
        <v>3408</v>
      </c>
      <c r="E1278" s="907">
        <v>4000</v>
      </c>
      <c r="F1278" s="908">
        <v>72800026</v>
      </c>
      <c r="G1278" s="910" t="s">
        <v>3964</v>
      </c>
      <c r="H1278" s="911" t="s">
        <v>3323</v>
      </c>
      <c r="I1278" s="911" t="s">
        <v>1411</v>
      </c>
      <c r="J1278" s="910" t="s">
        <v>3830</v>
      </c>
      <c r="K1278" s="909">
        <v>3</v>
      </c>
      <c r="L1278" s="909">
        <v>9</v>
      </c>
      <c r="M1278" s="907">
        <v>36000</v>
      </c>
      <c r="N1278" s="908">
        <v>1</v>
      </c>
      <c r="O1278" s="908">
        <v>3</v>
      </c>
      <c r="P1278" s="907">
        <v>8000</v>
      </c>
      <c r="R1278" s="890"/>
    </row>
    <row r="1279" spans="1:18" s="276" customFormat="1" ht="36">
      <c r="A1279" s="908" t="s">
        <v>3199</v>
      </c>
      <c r="B1279" s="908" t="s">
        <v>1402</v>
      </c>
      <c r="C1279" s="912" t="s">
        <v>4243</v>
      </c>
      <c r="D1279" s="910" t="s">
        <v>3408</v>
      </c>
      <c r="E1279" s="907">
        <v>3000</v>
      </c>
      <c r="F1279" s="908">
        <v>48366507</v>
      </c>
      <c r="G1279" s="910" t="s">
        <v>3965</v>
      </c>
      <c r="H1279" s="911" t="s">
        <v>3323</v>
      </c>
      <c r="I1279" s="911" t="s">
        <v>1411</v>
      </c>
      <c r="J1279" s="910" t="s">
        <v>3830</v>
      </c>
      <c r="K1279" s="909">
        <v>3</v>
      </c>
      <c r="L1279" s="909">
        <v>8</v>
      </c>
      <c r="M1279" s="907">
        <v>24000</v>
      </c>
      <c r="N1279" s="908">
        <v>1</v>
      </c>
      <c r="O1279" s="908">
        <v>4</v>
      </c>
      <c r="P1279" s="907">
        <v>12000</v>
      </c>
      <c r="R1279" s="890"/>
    </row>
    <row r="1280" spans="1:18" s="276" customFormat="1" ht="36">
      <c r="A1280" s="908" t="s">
        <v>3199</v>
      </c>
      <c r="B1280" s="908" t="s">
        <v>1402</v>
      </c>
      <c r="C1280" s="912" t="s">
        <v>4243</v>
      </c>
      <c r="D1280" s="910" t="s">
        <v>3318</v>
      </c>
      <c r="E1280" s="907">
        <v>3000</v>
      </c>
      <c r="F1280" s="908" t="s">
        <v>3966</v>
      </c>
      <c r="G1280" s="910" t="s">
        <v>3967</v>
      </c>
      <c r="H1280" s="911" t="s">
        <v>3910</v>
      </c>
      <c r="I1280" s="911" t="s">
        <v>1411</v>
      </c>
      <c r="J1280" s="910" t="s">
        <v>3830</v>
      </c>
      <c r="K1280" s="909">
        <v>1</v>
      </c>
      <c r="L1280" s="909">
        <v>3</v>
      </c>
      <c r="M1280" s="907">
        <v>9000</v>
      </c>
      <c r="N1280" s="908">
        <v>1</v>
      </c>
      <c r="O1280" s="908">
        <v>3</v>
      </c>
      <c r="P1280" s="907">
        <v>9000</v>
      </c>
      <c r="R1280" s="890"/>
    </row>
    <row r="1281" spans="1:18" s="276" customFormat="1" ht="36">
      <c r="A1281" s="908" t="s">
        <v>3199</v>
      </c>
      <c r="B1281" s="908" t="s">
        <v>1402</v>
      </c>
      <c r="C1281" s="912" t="s">
        <v>4243</v>
      </c>
      <c r="D1281" s="910" t="s">
        <v>3811</v>
      </c>
      <c r="E1281" s="907">
        <v>3500</v>
      </c>
      <c r="F1281" s="908">
        <v>10248988</v>
      </c>
      <c r="G1281" s="910" t="s">
        <v>3968</v>
      </c>
      <c r="H1281" s="911" t="s">
        <v>1432</v>
      </c>
      <c r="I1281" s="911" t="s">
        <v>1411</v>
      </c>
      <c r="J1281" s="910" t="s">
        <v>2736</v>
      </c>
      <c r="K1281" s="909">
        <v>5</v>
      </c>
      <c r="L1281" s="909">
        <v>11</v>
      </c>
      <c r="M1281" s="907">
        <v>38500</v>
      </c>
      <c r="N1281" s="908">
        <v>2</v>
      </c>
      <c r="O1281" s="908">
        <v>5</v>
      </c>
      <c r="P1281" s="907">
        <v>17500</v>
      </c>
      <c r="R1281" s="890"/>
    </row>
    <row r="1282" spans="1:18" s="276" customFormat="1" ht="36">
      <c r="A1282" s="908" t="s">
        <v>3199</v>
      </c>
      <c r="B1282" s="908" t="s">
        <v>1402</v>
      </c>
      <c r="C1282" s="912" t="s">
        <v>4243</v>
      </c>
      <c r="D1282" s="910" t="s">
        <v>3408</v>
      </c>
      <c r="E1282" s="907">
        <v>3000</v>
      </c>
      <c r="F1282" s="908">
        <v>46881787</v>
      </c>
      <c r="G1282" s="910" t="s">
        <v>3969</v>
      </c>
      <c r="H1282" s="911" t="s">
        <v>3323</v>
      </c>
      <c r="I1282" s="911" t="s">
        <v>1411</v>
      </c>
      <c r="J1282" s="910" t="s">
        <v>3830</v>
      </c>
      <c r="K1282" s="909">
        <v>3</v>
      </c>
      <c r="L1282" s="909">
        <v>9</v>
      </c>
      <c r="M1282" s="907">
        <v>27000</v>
      </c>
      <c r="N1282" s="908">
        <v>1</v>
      </c>
      <c r="O1282" s="908">
        <v>4</v>
      </c>
      <c r="P1282" s="907">
        <v>12000</v>
      </c>
      <c r="R1282" s="890"/>
    </row>
    <row r="1283" spans="1:18" s="276" customFormat="1" ht="36">
      <c r="A1283" s="908" t="s">
        <v>3199</v>
      </c>
      <c r="B1283" s="908" t="s">
        <v>1402</v>
      </c>
      <c r="C1283" s="912" t="s">
        <v>4243</v>
      </c>
      <c r="D1283" s="910" t="s">
        <v>3408</v>
      </c>
      <c r="E1283" s="907">
        <v>3000</v>
      </c>
      <c r="F1283" s="908">
        <v>73894218</v>
      </c>
      <c r="G1283" s="910" t="s">
        <v>3970</v>
      </c>
      <c r="H1283" s="911" t="s">
        <v>3971</v>
      </c>
      <c r="I1283" s="911" t="s">
        <v>1411</v>
      </c>
      <c r="J1283" s="910" t="s">
        <v>3830</v>
      </c>
      <c r="K1283" s="909">
        <v>3</v>
      </c>
      <c r="L1283" s="909">
        <v>7</v>
      </c>
      <c r="M1283" s="907">
        <v>21000</v>
      </c>
      <c r="N1283" s="908">
        <v>1</v>
      </c>
      <c r="O1283" s="908">
        <v>4</v>
      </c>
      <c r="P1283" s="907">
        <v>12000</v>
      </c>
      <c r="R1283" s="890"/>
    </row>
    <row r="1284" spans="1:18" s="276" customFormat="1" ht="36">
      <c r="A1284" s="908" t="s">
        <v>3199</v>
      </c>
      <c r="B1284" s="908" t="s">
        <v>1402</v>
      </c>
      <c r="C1284" s="912" t="s">
        <v>4243</v>
      </c>
      <c r="D1284" s="910" t="s">
        <v>3318</v>
      </c>
      <c r="E1284" s="907">
        <v>3500</v>
      </c>
      <c r="F1284" s="908" t="s">
        <v>3972</v>
      </c>
      <c r="G1284" s="910" t="s">
        <v>3973</v>
      </c>
      <c r="H1284" s="911" t="s">
        <v>2743</v>
      </c>
      <c r="I1284" s="911" t="s">
        <v>1411</v>
      </c>
      <c r="J1284" s="910" t="s">
        <v>3974</v>
      </c>
      <c r="K1284" s="909"/>
      <c r="L1284" s="909"/>
      <c r="M1284" s="907"/>
      <c r="N1284" s="908">
        <v>1</v>
      </c>
      <c r="O1284" s="908">
        <v>4</v>
      </c>
      <c r="P1284" s="907">
        <v>14000</v>
      </c>
      <c r="R1284" s="890"/>
    </row>
    <row r="1285" spans="1:18" s="276" customFormat="1" ht="36">
      <c r="A1285" s="908" t="s">
        <v>3199</v>
      </c>
      <c r="B1285" s="908" t="s">
        <v>1402</v>
      </c>
      <c r="C1285" s="912" t="s">
        <v>4243</v>
      </c>
      <c r="D1285" s="910" t="s">
        <v>3793</v>
      </c>
      <c r="E1285" s="907">
        <v>2500</v>
      </c>
      <c r="F1285" s="908" t="s">
        <v>3975</v>
      </c>
      <c r="G1285" s="910" t="s">
        <v>3976</v>
      </c>
      <c r="H1285" s="911" t="s">
        <v>3599</v>
      </c>
      <c r="I1285" s="911" t="s">
        <v>1411</v>
      </c>
      <c r="J1285" s="910" t="s">
        <v>3977</v>
      </c>
      <c r="K1285" s="909"/>
      <c r="L1285" s="909"/>
      <c r="M1285" s="907"/>
      <c r="N1285" s="908">
        <v>1</v>
      </c>
      <c r="O1285" s="908">
        <v>5</v>
      </c>
      <c r="P1285" s="907">
        <v>12500</v>
      </c>
      <c r="R1285" s="890"/>
    </row>
    <row r="1286" spans="1:18" s="276" customFormat="1" ht="36">
      <c r="A1286" s="908" t="s">
        <v>3199</v>
      </c>
      <c r="B1286" s="908" t="s">
        <v>1402</v>
      </c>
      <c r="C1286" s="912" t="s">
        <v>4243</v>
      </c>
      <c r="D1286" s="910" t="s">
        <v>3318</v>
      </c>
      <c r="E1286" s="907">
        <v>3500</v>
      </c>
      <c r="F1286" s="908">
        <v>45425233</v>
      </c>
      <c r="G1286" s="910" t="s">
        <v>3978</v>
      </c>
      <c r="H1286" s="911" t="s">
        <v>3323</v>
      </c>
      <c r="I1286" s="911" t="s">
        <v>1411</v>
      </c>
      <c r="J1286" s="910" t="s">
        <v>3830</v>
      </c>
      <c r="K1286" s="909">
        <v>1</v>
      </c>
      <c r="L1286" s="909">
        <v>4</v>
      </c>
      <c r="M1286" s="907">
        <v>14000</v>
      </c>
      <c r="N1286" s="908"/>
      <c r="O1286" s="908"/>
      <c r="P1286" s="907"/>
      <c r="R1286" s="890"/>
    </row>
    <row r="1287" spans="1:18" s="276" customFormat="1" ht="36">
      <c r="A1287" s="908" t="s">
        <v>3199</v>
      </c>
      <c r="B1287" s="908" t="s">
        <v>1402</v>
      </c>
      <c r="C1287" s="912" t="s">
        <v>4243</v>
      </c>
      <c r="D1287" s="910" t="s">
        <v>3820</v>
      </c>
      <c r="E1287" s="907">
        <v>2500</v>
      </c>
      <c r="F1287" s="908">
        <v>45582213</v>
      </c>
      <c r="G1287" s="910" t="s">
        <v>3979</v>
      </c>
      <c r="H1287" s="911" t="s">
        <v>1420</v>
      </c>
      <c r="I1287" s="911" t="s">
        <v>1411</v>
      </c>
      <c r="J1287" s="910" t="s">
        <v>3980</v>
      </c>
      <c r="K1287" s="909">
        <v>3</v>
      </c>
      <c r="L1287" s="909">
        <v>10</v>
      </c>
      <c r="M1287" s="907">
        <v>25000</v>
      </c>
      <c r="N1287" s="908">
        <v>1</v>
      </c>
      <c r="O1287" s="908">
        <v>5</v>
      </c>
      <c r="P1287" s="907">
        <v>12500</v>
      </c>
      <c r="R1287" s="890"/>
    </row>
    <row r="1288" spans="1:18" s="276" customFormat="1" ht="36">
      <c r="A1288" s="908" t="s">
        <v>3199</v>
      </c>
      <c r="B1288" s="908" t="s">
        <v>1402</v>
      </c>
      <c r="C1288" s="912" t="s">
        <v>4243</v>
      </c>
      <c r="D1288" s="910" t="s">
        <v>3408</v>
      </c>
      <c r="E1288" s="907">
        <v>5000</v>
      </c>
      <c r="F1288" s="908">
        <v>45585445</v>
      </c>
      <c r="G1288" s="910" t="s">
        <v>3981</v>
      </c>
      <c r="H1288" s="911" t="s">
        <v>3323</v>
      </c>
      <c r="I1288" s="911" t="s">
        <v>1411</v>
      </c>
      <c r="J1288" s="910" t="s">
        <v>3832</v>
      </c>
      <c r="K1288" s="909">
        <v>2</v>
      </c>
      <c r="L1288" s="909">
        <v>6</v>
      </c>
      <c r="M1288" s="907">
        <v>30000</v>
      </c>
      <c r="N1288" s="908">
        <v>1</v>
      </c>
      <c r="O1288" s="908">
        <v>5</v>
      </c>
      <c r="P1288" s="907">
        <v>25000</v>
      </c>
      <c r="R1288" s="890"/>
    </row>
    <row r="1289" spans="1:18" s="276" customFormat="1" ht="36">
      <c r="A1289" s="908" t="s">
        <v>3199</v>
      </c>
      <c r="B1289" s="908" t="s">
        <v>1402</v>
      </c>
      <c r="C1289" s="912" t="s">
        <v>4243</v>
      </c>
      <c r="D1289" s="910" t="s">
        <v>3904</v>
      </c>
      <c r="E1289" s="907">
        <v>2800</v>
      </c>
      <c r="F1289" s="908">
        <v>43051566</v>
      </c>
      <c r="G1289" s="910" t="s">
        <v>3982</v>
      </c>
      <c r="H1289" s="911" t="s">
        <v>1478</v>
      </c>
      <c r="I1289" s="911" t="s">
        <v>1411</v>
      </c>
      <c r="J1289" s="910" t="s">
        <v>1560</v>
      </c>
      <c r="K1289" s="909">
        <v>3</v>
      </c>
      <c r="L1289" s="909">
        <v>9</v>
      </c>
      <c r="M1289" s="907">
        <v>25200</v>
      </c>
      <c r="N1289" s="908">
        <v>1</v>
      </c>
      <c r="O1289" s="908">
        <v>5</v>
      </c>
      <c r="P1289" s="907">
        <v>14000</v>
      </c>
      <c r="R1289" s="890"/>
    </row>
    <row r="1290" spans="1:18" s="276" customFormat="1" ht="36">
      <c r="A1290" s="908" t="s">
        <v>3199</v>
      </c>
      <c r="B1290" s="908" t="s">
        <v>1402</v>
      </c>
      <c r="C1290" s="912" t="s">
        <v>4243</v>
      </c>
      <c r="D1290" s="910" t="s">
        <v>3826</v>
      </c>
      <c r="E1290" s="907">
        <v>1500</v>
      </c>
      <c r="F1290" s="908">
        <v>29613254</v>
      </c>
      <c r="G1290" s="910" t="s">
        <v>3983</v>
      </c>
      <c r="H1290" s="911" t="s">
        <v>3828</v>
      </c>
      <c r="I1290" s="911" t="s">
        <v>3828</v>
      </c>
      <c r="J1290" s="910" t="s">
        <v>3828</v>
      </c>
      <c r="K1290" s="909">
        <v>5</v>
      </c>
      <c r="L1290" s="909">
        <v>11</v>
      </c>
      <c r="M1290" s="907">
        <v>16500</v>
      </c>
      <c r="N1290" s="908">
        <v>1</v>
      </c>
      <c r="O1290" s="908">
        <v>5</v>
      </c>
      <c r="P1290" s="907">
        <v>7500</v>
      </c>
      <c r="R1290" s="890"/>
    </row>
    <row r="1291" spans="1:18" s="276" customFormat="1" ht="36">
      <c r="A1291" s="908" t="s">
        <v>3199</v>
      </c>
      <c r="B1291" s="908" t="s">
        <v>1402</v>
      </c>
      <c r="C1291" s="912" t="s">
        <v>4243</v>
      </c>
      <c r="D1291" s="910" t="s">
        <v>3729</v>
      </c>
      <c r="E1291" s="907">
        <v>5000</v>
      </c>
      <c r="F1291" s="908">
        <v>40664822</v>
      </c>
      <c r="G1291" s="910" t="s">
        <v>3984</v>
      </c>
      <c r="H1291" s="911" t="s">
        <v>2743</v>
      </c>
      <c r="I1291" s="911" t="s">
        <v>1411</v>
      </c>
      <c r="J1291" s="910" t="s">
        <v>3850</v>
      </c>
      <c r="K1291" s="909"/>
      <c r="L1291" s="909"/>
      <c r="M1291" s="907"/>
      <c r="N1291" s="908">
        <v>1</v>
      </c>
      <c r="O1291" s="908">
        <v>3</v>
      </c>
      <c r="P1291" s="907">
        <v>15000</v>
      </c>
      <c r="R1291" s="890"/>
    </row>
    <row r="1292" spans="1:18" s="276" customFormat="1" ht="36">
      <c r="A1292" s="908" t="s">
        <v>3199</v>
      </c>
      <c r="B1292" s="908" t="s">
        <v>1402</v>
      </c>
      <c r="C1292" s="912" t="s">
        <v>4243</v>
      </c>
      <c r="D1292" s="910" t="s">
        <v>3985</v>
      </c>
      <c r="E1292" s="907">
        <v>4500</v>
      </c>
      <c r="F1292" s="908">
        <v>47397098</v>
      </c>
      <c r="G1292" s="910" t="s">
        <v>3986</v>
      </c>
      <c r="H1292" s="911" t="s">
        <v>1471</v>
      </c>
      <c r="I1292" s="911" t="s">
        <v>1411</v>
      </c>
      <c r="J1292" s="910" t="s">
        <v>3987</v>
      </c>
      <c r="K1292" s="909">
        <v>3</v>
      </c>
      <c r="L1292" s="909">
        <v>11</v>
      </c>
      <c r="M1292" s="907">
        <v>49500</v>
      </c>
      <c r="N1292" s="908">
        <v>1</v>
      </c>
      <c r="O1292" s="908">
        <v>5</v>
      </c>
      <c r="P1292" s="907">
        <v>25000</v>
      </c>
      <c r="R1292" s="890"/>
    </row>
    <row r="1293" spans="1:18" s="276" customFormat="1" ht="36">
      <c r="A1293" s="908" t="s">
        <v>3199</v>
      </c>
      <c r="B1293" s="908" t="s">
        <v>1402</v>
      </c>
      <c r="C1293" s="912" t="s">
        <v>4243</v>
      </c>
      <c r="D1293" s="910" t="s">
        <v>3318</v>
      </c>
      <c r="E1293" s="907">
        <v>3000</v>
      </c>
      <c r="F1293" s="908" t="s">
        <v>3988</v>
      </c>
      <c r="G1293" s="910" t="s">
        <v>3989</v>
      </c>
      <c r="H1293" s="911" t="s">
        <v>3990</v>
      </c>
      <c r="I1293" s="911" t="s">
        <v>1411</v>
      </c>
      <c r="J1293" s="910" t="s">
        <v>3991</v>
      </c>
      <c r="K1293" s="909"/>
      <c r="L1293" s="909"/>
      <c r="M1293" s="907"/>
      <c r="N1293" s="908">
        <v>1</v>
      </c>
      <c r="O1293" s="908">
        <v>4</v>
      </c>
      <c r="P1293" s="907">
        <v>12000</v>
      </c>
      <c r="R1293" s="890"/>
    </row>
    <row r="1294" spans="1:18" s="276" customFormat="1" ht="36">
      <c r="A1294" s="908" t="s">
        <v>3199</v>
      </c>
      <c r="B1294" s="908" t="s">
        <v>1402</v>
      </c>
      <c r="C1294" s="912" t="s">
        <v>4243</v>
      </c>
      <c r="D1294" s="910" t="s">
        <v>3408</v>
      </c>
      <c r="E1294" s="907">
        <v>4500</v>
      </c>
      <c r="F1294" s="908">
        <v>46279002</v>
      </c>
      <c r="G1294" s="910" t="s">
        <v>3992</v>
      </c>
      <c r="H1294" s="911" t="s">
        <v>3323</v>
      </c>
      <c r="I1294" s="911" t="s">
        <v>1411</v>
      </c>
      <c r="J1294" s="910" t="s">
        <v>1795</v>
      </c>
      <c r="K1294" s="909">
        <v>2</v>
      </c>
      <c r="L1294" s="909">
        <v>8</v>
      </c>
      <c r="M1294" s="907">
        <v>36000</v>
      </c>
      <c r="N1294" s="908">
        <v>1</v>
      </c>
      <c r="O1294" s="908">
        <v>4</v>
      </c>
      <c r="P1294" s="907">
        <v>18000</v>
      </c>
      <c r="R1294" s="890"/>
    </row>
    <row r="1295" spans="1:18" s="276" customFormat="1" ht="36">
      <c r="A1295" s="908" t="s">
        <v>3199</v>
      </c>
      <c r="B1295" s="908" t="s">
        <v>1402</v>
      </c>
      <c r="C1295" s="912" t="s">
        <v>4243</v>
      </c>
      <c r="D1295" s="910" t="s">
        <v>3408</v>
      </c>
      <c r="E1295" s="907">
        <v>5000</v>
      </c>
      <c r="F1295" s="908">
        <v>43630455</v>
      </c>
      <c r="G1295" s="910" t="s">
        <v>3993</v>
      </c>
      <c r="H1295" s="911" t="s">
        <v>3323</v>
      </c>
      <c r="I1295" s="911" t="s">
        <v>1411</v>
      </c>
      <c r="J1295" s="910" t="s">
        <v>1795</v>
      </c>
      <c r="K1295" s="909">
        <v>4</v>
      </c>
      <c r="L1295" s="909">
        <v>9</v>
      </c>
      <c r="M1295" s="907">
        <v>45000</v>
      </c>
      <c r="N1295" s="908">
        <v>1</v>
      </c>
      <c r="O1295" s="908">
        <v>5</v>
      </c>
      <c r="P1295" s="907">
        <v>25000</v>
      </c>
      <c r="R1295" s="890"/>
    </row>
    <row r="1296" spans="1:18" s="276" customFormat="1" ht="36">
      <c r="A1296" s="908" t="s">
        <v>3199</v>
      </c>
      <c r="B1296" s="908" t="s">
        <v>1402</v>
      </c>
      <c r="C1296" s="912" t="s">
        <v>4243</v>
      </c>
      <c r="D1296" s="910" t="s">
        <v>3729</v>
      </c>
      <c r="E1296" s="907">
        <v>2000</v>
      </c>
      <c r="F1296" s="908">
        <v>40021420</v>
      </c>
      <c r="G1296" s="910" t="s">
        <v>3994</v>
      </c>
      <c r="H1296" s="911" t="s">
        <v>3995</v>
      </c>
      <c r="I1296" s="911" t="s">
        <v>1411</v>
      </c>
      <c r="J1296" s="910" t="s">
        <v>3996</v>
      </c>
      <c r="K1296" s="909">
        <v>2</v>
      </c>
      <c r="L1296" s="909">
        <v>8</v>
      </c>
      <c r="M1296" s="907">
        <v>16000</v>
      </c>
      <c r="N1296" s="908"/>
      <c r="O1296" s="908"/>
      <c r="P1296" s="907"/>
      <c r="R1296" s="890"/>
    </row>
    <row r="1297" spans="1:18" s="276" customFormat="1" ht="36">
      <c r="A1297" s="908" t="s">
        <v>3199</v>
      </c>
      <c r="B1297" s="908" t="s">
        <v>1402</v>
      </c>
      <c r="C1297" s="912" t="s">
        <v>4243</v>
      </c>
      <c r="D1297" s="910" t="s">
        <v>3408</v>
      </c>
      <c r="E1297" s="907">
        <v>8000</v>
      </c>
      <c r="F1297" s="908" t="s">
        <v>3997</v>
      </c>
      <c r="G1297" s="910" t="s">
        <v>3998</v>
      </c>
      <c r="H1297" s="911" t="s">
        <v>3323</v>
      </c>
      <c r="I1297" s="911" t="s">
        <v>1411</v>
      </c>
      <c r="J1297" s="910" t="s">
        <v>1795</v>
      </c>
      <c r="K1297" s="909">
        <v>3</v>
      </c>
      <c r="L1297" s="909">
        <v>9</v>
      </c>
      <c r="M1297" s="907">
        <v>72000</v>
      </c>
      <c r="N1297" s="908">
        <v>1</v>
      </c>
      <c r="O1297" s="908">
        <v>4</v>
      </c>
      <c r="P1297" s="907">
        <v>32000</v>
      </c>
      <c r="R1297" s="890"/>
    </row>
    <row r="1298" spans="1:18" s="276" customFormat="1" ht="36">
      <c r="A1298" s="908" t="s">
        <v>3199</v>
      </c>
      <c r="B1298" s="908" t="s">
        <v>1402</v>
      </c>
      <c r="C1298" s="912" t="s">
        <v>4243</v>
      </c>
      <c r="D1298" s="910"/>
      <c r="E1298" s="907">
        <v>3000</v>
      </c>
      <c r="F1298" s="908">
        <v>47488066</v>
      </c>
      <c r="G1298" s="910" t="s">
        <v>3999</v>
      </c>
      <c r="H1298" s="911" t="s">
        <v>4000</v>
      </c>
      <c r="I1298" s="911" t="s">
        <v>1411</v>
      </c>
      <c r="J1298" s="910" t="s">
        <v>4001</v>
      </c>
      <c r="K1298" s="909">
        <v>2</v>
      </c>
      <c r="L1298" s="909">
        <v>11</v>
      </c>
      <c r="M1298" s="907">
        <v>33000</v>
      </c>
      <c r="N1298" s="908">
        <v>1</v>
      </c>
      <c r="O1298" s="908">
        <v>5</v>
      </c>
      <c r="P1298" s="907">
        <v>15000</v>
      </c>
      <c r="R1298" s="890"/>
    </row>
    <row r="1299" spans="1:18" s="276" customFormat="1" ht="36">
      <c r="A1299" s="908" t="s">
        <v>3199</v>
      </c>
      <c r="B1299" s="908" t="s">
        <v>1402</v>
      </c>
      <c r="C1299" s="912" t="s">
        <v>4243</v>
      </c>
      <c r="D1299" s="910" t="s">
        <v>3408</v>
      </c>
      <c r="E1299" s="907">
        <v>8000</v>
      </c>
      <c r="F1299" s="908">
        <v>47214856</v>
      </c>
      <c r="G1299" s="910" t="s">
        <v>4002</v>
      </c>
      <c r="H1299" s="911" t="s">
        <v>3323</v>
      </c>
      <c r="I1299" s="911" t="s">
        <v>1411</v>
      </c>
      <c r="J1299" s="910" t="s">
        <v>3832</v>
      </c>
      <c r="K1299" s="909">
        <v>1</v>
      </c>
      <c r="L1299" s="909">
        <v>3</v>
      </c>
      <c r="M1299" s="907">
        <v>24000</v>
      </c>
      <c r="N1299" s="908"/>
      <c r="O1299" s="908"/>
      <c r="P1299" s="907"/>
      <c r="R1299" s="890"/>
    </row>
    <row r="1300" spans="1:18" s="276" customFormat="1" ht="36">
      <c r="A1300" s="908" t="s">
        <v>3199</v>
      </c>
      <c r="B1300" s="908" t="s">
        <v>1402</v>
      </c>
      <c r="C1300" s="912" t="s">
        <v>4243</v>
      </c>
      <c r="D1300" s="910" t="s">
        <v>3729</v>
      </c>
      <c r="E1300" s="907">
        <v>5000</v>
      </c>
      <c r="F1300" s="908">
        <v>43888435</v>
      </c>
      <c r="G1300" s="910" t="s">
        <v>3743</v>
      </c>
      <c r="H1300" s="911" t="s">
        <v>1565</v>
      </c>
      <c r="I1300" s="911" t="s">
        <v>1411</v>
      </c>
      <c r="J1300" s="910" t="s">
        <v>2758</v>
      </c>
      <c r="K1300" s="909">
        <v>2</v>
      </c>
      <c r="L1300" s="909">
        <v>8</v>
      </c>
      <c r="M1300" s="907">
        <v>40000</v>
      </c>
      <c r="N1300" s="908"/>
      <c r="O1300" s="908"/>
      <c r="P1300" s="907"/>
      <c r="R1300" s="890"/>
    </row>
    <row r="1301" spans="1:18" s="276" customFormat="1" ht="36">
      <c r="A1301" s="908" t="s">
        <v>3199</v>
      </c>
      <c r="B1301" s="908" t="s">
        <v>1402</v>
      </c>
      <c r="C1301" s="912" t="s">
        <v>4243</v>
      </c>
      <c r="D1301" s="910" t="s">
        <v>3408</v>
      </c>
      <c r="E1301" s="907">
        <v>4000</v>
      </c>
      <c r="F1301" s="908" t="s">
        <v>4003</v>
      </c>
      <c r="G1301" s="910" t="s">
        <v>4004</v>
      </c>
      <c r="H1301" s="911" t="s">
        <v>4005</v>
      </c>
      <c r="I1301" s="911" t="s">
        <v>1411</v>
      </c>
      <c r="J1301" s="910" t="s">
        <v>4006</v>
      </c>
      <c r="K1301" s="909"/>
      <c r="L1301" s="909"/>
      <c r="M1301" s="907"/>
      <c r="N1301" s="908">
        <v>1</v>
      </c>
      <c r="O1301" s="908">
        <v>4</v>
      </c>
      <c r="P1301" s="907">
        <v>16000</v>
      </c>
      <c r="R1301" s="890"/>
    </row>
    <row r="1302" spans="1:18" s="276" customFormat="1" ht="36">
      <c r="A1302" s="908" t="s">
        <v>3199</v>
      </c>
      <c r="B1302" s="908" t="s">
        <v>1402</v>
      </c>
      <c r="C1302" s="912" t="s">
        <v>4243</v>
      </c>
      <c r="D1302" s="910" t="s">
        <v>3318</v>
      </c>
      <c r="E1302" s="907">
        <v>3500</v>
      </c>
      <c r="F1302" s="908">
        <v>45924094</v>
      </c>
      <c r="G1302" s="910" t="s">
        <v>3357</v>
      </c>
      <c r="H1302" s="911" t="s">
        <v>3903</v>
      </c>
      <c r="I1302" s="911" t="s">
        <v>1411</v>
      </c>
      <c r="J1302" s="910" t="s">
        <v>4007</v>
      </c>
      <c r="K1302" s="909">
        <v>1</v>
      </c>
      <c r="L1302" s="909">
        <v>5</v>
      </c>
      <c r="M1302" s="907">
        <v>17500</v>
      </c>
      <c r="N1302" s="908"/>
      <c r="O1302" s="908"/>
      <c r="P1302" s="907"/>
      <c r="R1302" s="890"/>
    </row>
    <row r="1303" spans="1:18" s="276" customFormat="1" ht="36">
      <c r="A1303" s="908" t="s">
        <v>3199</v>
      </c>
      <c r="B1303" s="908" t="s">
        <v>1402</v>
      </c>
      <c r="C1303" s="912" t="s">
        <v>4243</v>
      </c>
      <c r="D1303" s="910" t="s">
        <v>3465</v>
      </c>
      <c r="E1303" s="907">
        <v>3500</v>
      </c>
      <c r="F1303" s="908">
        <v>46886518</v>
      </c>
      <c r="G1303" s="910" t="s">
        <v>4008</v>
      </c>
      <c r="H1303" s="911" t="s">
        <v>1795</v>
      </c>
      <c r="I1303" s="911" t="s">
        <v>1411</v>
      </c>
      <c r="J1303" s="910" t="s">
        <v>3830</v>
      </c>
      <c r="K1303" s="909">
        <v>3</v>
      </c>
      <c r="L1303" s="909">
        <v>11</v>
      </c>
      <c r="M1303" s="907">
        <v>38500</v>
      </c>
      <c r="N1303" s="908">
        <v>1</v>
      </c>
      <c r="O1303" s="908">
        <v>4</v>
      </c>
      <c r="P1303" s="907">
        <v>18000</v>
      </c>
      <c r="R1303" s="890"/>
    </row>
    <row r="1304" spans="1:18" s="276" customFormat="1" ht="36">
      <c r="A1304" s="908" t="s">
        <v>3199</v>
      </c>
      <c r="B1304" s="908" t="s">
        <v>1402</v>
      </c>
      <c r="C1304" s="912" t="s">
        <v>4243</v>
      </c>
      <c r="D1304" s="910" t="s">
        <v>3408</v>
      </c>
      <c r="E1304" s="907">
        <v>3500</v>
      </c>
      <c r="F1304" s="908" t="s">
        <v>4009</v>
      </c>
      <c r="G1304" s="910" t="s">
        <v>4010</v>
      </c>
      <c r="H1304" s="911" t="s">
        <v>3323</v>
      </c>
      <c r="I1304" s="911" t="s">
        <v>1411</v>
      </c>
      <c r="J1304" s="910" t="s">
        <v>3830</v>
      </c>
      <c r="K1304" s="909"/>
      <c r="L1304" s="909"/>
      <c r="M1304" s="907"/>
      <c r="N1304" s="908">
        <v>1</v>
      </c>
      <c r="O1304" s="908">
        <v>4</v>
      </c>
      <c r="P1304" s="907">
        <v>14000</v>
      </c>
      <c r="R1304" s="890"/>
    </row>
    <row r="1305" spans="1:18" s="276" customFormat="1" ht="36">
      <c r="A1305" s="908" t="s">
        <v>3199</v>
      </c>
      <c r="B1305" s="908" t="s">
        <v>1402</v>
      </c>
      <c r="C1305" s="912" t="s">
        <v>4243</v>
      </c>
      <c r="D1305" s="910" t="s">
        <v>3700</v>
      </c>
      <c r="E1305" s="907">
        <v>3000</v>
      </c>
      <c r="F1305" s="908">
        <v>72217852</v>
      </c>
      <c r="G1305" s="910" t="s">
        <v>4011</v>
      </c>
      <c r="H1305" s="911" t="s">
        <v>1565</v>
      </c>
      <c r="I1305" s="911" t="s">
        <v>1411</v>
      </c>
      <c r="J1305" s="910" t="s">
        <v>3096</v>
      </c>
      <c r="K1305" s="909">
        <v>1</v>
      </c>
      <c r="L1305" s="909">
        <v>6</v>
      </c>
      <c r="M1305" s="907">
        <v>18000</v>
      </c>
      <c r="N1305" s="908">
        <v>1</v>
      </c>
      <c r="O1305" s="908">
        <v>5</v>
      </c>
      <c r="P1305" s="907">
        <v>15000</v>
      </c>
      <c r="R1305" s="890"/>
    </row>
    <row r="1306" spans="1:18" s="276" customFormat="1" ht="36">
      <c r="A1306" s="908" t="s">
        <v>3199</v>
      </c>
      <c r="B1306" s="908" t="s">
        <v>1402</v>
      </c>
      <c r="C1306" s="912" t="s">
        <v>4243</v>
      </c>
      <c r="D1306" s="910" t="s">
        <v>3318</v>
      </c>
      <c r="E1306" s="907">
        <v>5500</v>
      </c>
      <c r="F1306" s="908">
        <v>42506420</v>
      </c>
      <c r="G1306" s="910" t="s">
        <v>3361</v>
      </c>
      <c r="H1306" s="911" t="s">
        <v>3903</v>
      </c>
      <c r="I1306" s="911" t="s">
        <v>1411</v>
      </c>
      <c r="J1306" s="910" t="s">
        <v>3815</v>
      </c>
      <c r="K1306" s="909">
        <v>1</v>
      </c>
      <c r="L1306" s="909">
        <v>5</v>
      </c>
      <c r="M1306" s="907">
        <v>27500</v>
      </c>
      <c r="N1306" s="908"/>
      <c r="O1306" s="908"/>
      <c r="P1306" s="907"/>
      <c r="R1306" s="890"/>
    </row>
    <row r="1307" spans="1:18" s="276" customFormat="1" ht="36">
      <c r="A1307" s="908" t="s">
        <v>3199</v>
      </c>
      <c r="B1307" s="908" t="s">
        <v>1402</v>
      </c>
      <c r="C1307" s="912" t="s">
        <v>4243</v>
      </c>
      <c r="D1307" s="910" t="s">
        <v>3700</v>
      </c>
      <c r="E1307" s="907">
        <v>2500</v>
      </c>
      <c r="F1307" s="908">
        <v>10190101</v>
      </c>
      <c r="G1307" s="910" t="s">
        <v>4012</v>
      </c>
      <c r="H1307" s="911" t="s">
        <v>1565</v>
      </c>
      <c r="I1307" s="911" t="s">
        <v>1411</v>
      </c>
      <c r="J1307" s="910" t="s">
        <v>1811</v>
      </c>
      <c r="K1307" s="909">
        <v>1</v>
      </c>
      <c r="L1307" s="909">
        <v>3</v>
      </c>
      <c r="M1307" s="907">
        <v>7500</v>
      </c>
      <c r="N1307" s="908"/>
      <c r="O1307" s="908"/>
      <c r="P1307" s="907"/>
      <c r="R1307" s="890"/>
    </row>
    <row r="1308" spans="1:18" s="276" customFormat="1" ht="36">
      <c r="A1308" s="908" t="s">
        <v>3199</v>
      </c>
      <c r="B1308" s="908" t="s">
        <v>1402</v>
      </c>
      <c r="C1308" s="912" t="s">
        <v>4243</v>
      </c>
      <c r="D1308" s="910" t="s">
        <v>3729</v>
      </c>
      <c r="E1308" s="907">
        <v>6500</v>
      </c>
      <c r="F1308" s="908">
        <v>43745938</v>
      </c>
      <c r="G1308" s="910" t="s">
        <v>4013</v>
      </c>
      <c r="H1308" s="911" t="s">
        <v>1565</v>
      </c>
      <c r="I1308" s="911" t="s">
        <v>1411</v>
      </c>
      <c r="J1308" s="910" t="s">
        <v>2939</v>
      </c>
      <c r="K1308" s="909">
        <v>3</v>
      </c>
      <c r="L1308" s="909">
        <v>11</v>
      </c>
      <c r="M1308" s="907">
        <v>71500</v>
      </c>
      <c r="N1308" s="908">
        <v>2</v>
      </c>
      <c r="O1308" s="908">
        <v>5</v>
      </c>
      <c r="P1308" s="907">
        <v>32500</v>
      </c>
      <c r="R1308" s="890"/>
    </row>
    <row r="1309" spans="1:18" s="276" customFormat="1" ht="36">
      <c r="A1309" s="908" t="s">
        <v>3199</v>
      </c>
      <c r="B1309" s="908" t="s">
        <v>1402</v>
      </c>
      <c r="C1309" s="912" t="s">
        <v>4243</v>
      </c>
      <c r="D1309" s="910" t="s">
        <v>3408</v>
      </c>
      <c r="E1309" s="907">
        <v>4000</v>
      </c>
      <c r="F1309" s="908" t="s">
        <v>4014</v>
      </c>
      <c r="G1309" s="910" t="s">
        <v>4015</v>
      </c>
      <c r="H1309" s="911" t="s">
        <v>3323</v>
      </c>
      <c r="I1309" s="911" t="s">
        <v>1411</v>
      </c>
      <c r="J1309" s="910" t="s">
        <v>3946</v>
      </c>
      <c r="K1309" s="909"/>
      <c r="L1309" s="909"/>
      <c r="M1309" s="907"/>
      <c r="N1309" s="908">
        <v>1</v>
      </c>
      <c r="O1309" s="908">
        <v>3</v>
      </c>
      <c r="P1309" s="907">
        <v>12000</v>
      </c>
      <c r="R1309" s="890"/>
    </row>
    <row r="1310" spans="1:18" s="276" customFormat="1" ht="36">
      <c r="A1310" s="908" t="s">
        <v>3199</v>
      </c>
      <c r="B1310" s="908" t="s">
        <v>1402</v>
      </c>
      <c r="C1310" s="912" t="s">
        <v>4243</v>
      </c>
      <c r="D1310" s="910" t="s">
        <v>3465</v>
      </c>
      <c r="E1310" s="907">
        <v>3500</v>
      </c>
      <c r="F1310" s="908">
        <v>47428527</v>
      </c>
      <c r="G1310" s="910" t="s">
        <v>4016</v>
      </c>
      <c r="H1310" s="911" t="s">
        <v>3971</v>
      </c>
      <c r="I1310" s="911" t="s">
        <v>1411</v>
      </c>
      <c r="J1310" s="910" t="s">
        <v>3830</v>
      </c>
      <c r="K1310" s="909">
        <v>2</v>
      </c>
      <c r="L1310" s="909">
        <v>6</v>
      </c>
      <c r="M1310" s="907">
        <v>21000</v>
      </c>
      <c r="N1310" s="908"/>
      <c r="O1310" s="908"/>
      <c r="P1310" s="907"/>
      <c r="R1310" s="890"/>
    </row>
    <row r="1311" spans="1:18" s="276" customFormat="1" ht="36">
      <c r="A1311" s="908" t="s">
        <v>3199</v>
      </c>
      <c r="B1311" s="908" t="s">
        <v>1402</v>
      </c>
      <c r="C1311" s="912" t="s">
        <v>4243</v>
      </c>
      <c r="D1311" s="910" t="s">
        <v>3408</v>
      </c>
      <c r="E1311" s="907">
        <v>3000</v>
      </c>
      <c r="F1311" s="908">
        <v>46986290</v>
      </c>
      <c r="G1311" s="910" t="s">
        <v>4017</v>
      </c>
      <c r="H1311" s="911" t="s">
        <v>3323</v>
      </c>
      <c r="I1311" s="911" t="s">
        <v>1411</v>
      </c>
      <c r="J1311" s="910" t="s">
        <v>3830</v>
      </c>
      <c r="K1311" s="909">
        <v>3</v>
      </c>
      <c r="L1311" s="909">
        <v>9</v>
      </c>
      <c r="M1311" s="907">
        <v>27000</v>
      </c>
      <c r="N1311" s="908">
        <v>1</v>
      </c>
      <c r="O1311" s="908">
        <v>4</v>
      </c>
      <c r="P1311" s="907">
        <v>12000</v>
      </c>
      <c r="R1311" s="890"/>
    </row>
    <row r="1312" spans="1:18" s="276" customFormat="1" ht="36">
      <c r="A1312" s="908" t="s">
        <v>3199</v>
      </c>
      <c r="B1312" s="908" t="s">
        <v>1402</v>
      </c>
      <c r="C1312" s="912" t="s">
        <v>4243</v>
      </c>
      <c r="D1312" s="910" t="s">
        <v>3588</v>
      </c>
      <c r="E1312" s="907">
        <v>3000</v>
      </c>
      <c r="F1312" s="908">
        <v>44898003</v>
      </c>
      <c r="G1312" s="910" t="s">
        <v>4018</v>
      </c>
      <c r="H1312" s="911" t="s">
        <v>1410</v>
      </c>
      <c r="I1312" s="911" t="s">
        <v>1411</v>
      </c>
      <c r="J1312" s="910" t="s">
        <v>3858</v>
      </c>
      <c r="K1312" s="909">
        <v>4</v>
      </c>
      <c r="L1312" s="909">
        <v>9</v>
      </c>
      <c r="M1312" s="907">
        <v>27000</v>
      </c>
      <c r="N1312" s="908">
        <v>1</v>
      </c>
      <c r="O1312" s="908">
        <v>5</v>
      </c>
      <c r="P1312" s="907">
        <v>15000</v>
      </c>
      <c r="R1312" s="890"/>
    </row>
    <row r="1313" spans="1:18" s="276" customFormat="1" ht="36">
      <c r="A1313" s="908" t="s">
        <v>3199</v>
      </c>
      <c r="B1313" s="908" t="s">
        <v>1402</v>
      </c>
      <c r="C1313" s="912" t="s">
        <v>4243</v>
      </c>
      <c r="D1313" s="910" t="s">
        <v>3408</v>
      </c>
      <c r="E1313" s="907">
        <v>6000</v>
      </c>
      <c r="F1313" s="908">
        <v>40709752</v>
      </c>
      <c r="G1313" s="910" t="s">
        <v>4019</v>
      </c>
      <c r="H1313" s="911" t="s">
        <v>3323</v>
      </c>
      <c r="I1313" s="911" t="s">
        <v>1411</v>
      </c>
      <c r="J1313" s="910" t="s">
        <v>3815</v>
      </c>
      <c r="K1313" s="909">
        <v>2</v>
      </c>
      <c r="L1313" s="909">
        <v>6</v>
      </c>
      <c r="M1313" s="907">
        <v>36000</v>
      </c>
      <c r="N1313" s="908">
        <v>1</v>
      </c>
      <c r="O1313" s="908">
        <v>5</v>
      </c>
      <c r="P1313" s="907">
        <v>30000</v>
      </c>
      <c r="R1313" s="890"/>
    </row>
    <row r="1314" spans="1:18" s="276" customFormat="1" ht="36">
      <c r="A1314" s="908" t="s">
        <v>3199</v>
      </c>
      <c r="B1314" s="908" t="s">
        <v>1402</v>
      </c>
      <c r="C1314" s="912" t="s">
        <v>4243</v>
      </c>
      <c r="D1314" s="910" t="s">
        <v>3318</v>
      </c>
      <c r="E1314" s="907">
        <v>3500</v>
      </c>
      <c r="F1314" s="908">
        <v>77426298</v>
      </c>
      <c r="G1314" s="910" t="s">
        <v>4020</v>
      </c>
      <c r="H1314" s="911" t="s">
        <v>3323</v>
      </c>
      <c r="I1314" s="911" t="s">
        <v>1411</v>
      </c>
      <c r="J1314" s="910" t="s">
        <v>3830</v>
      </c>
      <c r="K1314" s="909">
        <v>3</v>
      </c>
      <c r="L1314" s="909">
        <v>9</v>
      </c>
      <c r="M1314" s="907">
        <v>31500</v>
      </c>
      <c r="N1314" s="908">
        <v>1</v>
      </c>
      <c r="O1314" s="908">
        <v>3</v>
      </c>
      <c r="P1314" s="907">
        <v>10500</v>
      </c>
      <c r="R1314" s="890"/>
    </row>
    <row r="1315" spans="1:18" s="276" customFormat="1" ht="36">
      <c r="A1315" s="908" t="s">
        <v>3199</v>
      </c>
      <c r="B1315" s="908" t="s">
        <v>1402</v>
      </c>
      <c r="C1315" s="912" t="s">
        <v>4243</v>
      </c>
      <c r="D1315" s="910" t="s">
        <v>3929</v>
      </c>
      <c r="E1315" s="907">
        <v>15000</v>
      </c>
      <c r="F1315" s="908" t="s">
        <v>4021</v>
      </c>
      <c r="G1315" s="910" t="s">
        <v>4022</v>
      </c>
      <c r="H1315" s="911" t="s">
        <v>4023</v>
      </c>
      <c r="I1315" s="911" t="s">
        <v>1411</v>
      </c>
      <c r="J1315" s="910" t="s">
        <v>4024</v>
      </c>
      <c r="K1315" s="909">
        <v>6</v>
      </c>
      <c r="L1315" s="909">
        <v>12</v>
      </c>
      <c r="M1315" s="907">
        <v>180000</v>
      </c>
      <c r="N1315" s="908">
        <v>1</v>
      </c>
      <c r="O1315" s="908">
        <v>2</v>
      </c>
      <c r="P1315" s="907">
        <v>30000</v>
      </c>
      <c r="R1315" s="890"/>
    </row>
    <row r="1316" spans="1:18" s="276" customFormat="1" ht="36">
      <c r="A1316" s="908" t="s">
        <v>3199</v>
      </c>
      <c r="B1316" s="908" t="s">
        <v>1402</v>
      </c>
      <c r="C1316" s="912" t="s">
        <v>4243</v>
      </c>
      <c r="D1316" s="910" t="s">
        <v>3318</v>
      </c>
      <c r="E1316" s="907">
        <v>5000</v>
      </c>
      <c r="F1316" s="908">
        <v>40968312</v>
      </c>
      <c r="G1316" s="910" t="s">
        <v>4025</v>
      </c>
      <c r="H1316" s="911" t="s">
        <v>2743</v>
      </c>
      <c r="I1316" s="911" t="s">
        <v>1411</v>
      </c>
      <c r="J1316" s="910" t="s">
        <v>3832</v>
      </c>
      <c r="K1316" s="909">
        <v>2</v>
      </c>
      <c r="L1316" s="909">
        <v>3</v>
      </c>
      <c r="M1316" s="907">
        <v>15000</v>
      </c>
      <c r="N1316" s="908"/>
      <c r="O1316" s="908"/>
      <c r="P1316" s="907"/>
      <c r="R1316" s="890"/>
    </row>
    <row r="1317" spans="1:18" s="276" customFormat="1" ht="36">
      <c r="A1317" s="908" t="s">
        <v>3199</v>
      </c>
      <c r="B1317" s="908" t="s">
        <v>1402</v>
      </c>
      <c r="C1317" s="912" t="s">
        <v>4243</v>
      </c>
      <c r="D1317" s="910" t="s">
        <v>3700</v>
      </c>
      <c r="E1317" s="907">
        <v>2500</v>
      </c>
      <c r="F1317" s="908">
        <v>46640214</v>
      </c>
      <c r="G1317" s="910" t="s">
        <v>4026</v>
      </c>
      <c r="H1317" s="911" t="s">
        <v>1420</v>
      </c>
      <c r="I1317" s="911" t="s">
        <v>1411</v>
      </c>
      <c r="J1317" s="910" t="s">
        <v>2814</v>
      </c>
      <c r="K1317" s="909">
        <v>2</v>
      </c>
      <c r="L1317" s="909">
        <v>10</v>
      </c>
      <c r="M1317" s="907">
        <v>25000</v>
      </c>
      <c r="N1317" s="908">
        <v>2</v>
      </c>
      <c r="O1317" s="908">
        <v>5</v>
      </c>
      <c r="P1317" s="907">
        <v>12500</v>
      </c>
      <c r="R1317" s="890"/>
    </row>
    <row r="1318" spans="1:18" s="276" customFormat="1" ht="36">
      <c r="A1318" s="908" t="s">
        <v>3199</v>
      </c>
      <c r="B1318" s="908" t="s">
        <v>1402</v>
      </c>
      <c r="C1318" s="912" t="s">
        <v>4243</v>
      </c>
      <c r="D1318" s="910" t="s">
        <v>3408</v>
      </c>
      <c r="E1318" s="907">
        <v>3500</v>
      </c>
      <c r="F1318" s="908">
        <v>73249573</v>
      </c>
      <c r="G1318" s="910" t="s">
        <v>4027</v>
      </c>
      <c r="H1318" s="911" t="s">
        <v>3323</v>
      </c>
      <c r="I1318" s="911" t="s">
        <v>1411</v>
      </c>
      <c r="J1318" s="910" t="s">
        <v>3830</v>
      </c>
      <c r="K1318" s="909">
        <v>3</v>
      </c>
      <c r="L1318" s="909">
        <v>9</v>
      </c>
      <c r="M1318" s="907">
        <v>31500</v>
      </c>
      <c r="N1318" s="908">
        <v>1</v>
      </c>
      <c r="O1318" s="908">
        <v>4</v>
      </c>
      <c r="P1318" s="907">
        <v>14000</v>
      </c>
      <c r="R1318" s="890"/>
    </row>
    <row r="1319" spans="1:18" s="276" customFormat="1" ht="36">
      <c r="A1319" s="908" t="s">
        <v>3199</v>
      </c>
      <c r="B1319" s="908" t="s">
        <v>1402</v>
      </c>
      <c r="C1319" s="912" t="s">
        <v>4243</v>
      </c>
      <c r="D1319" s="910" t="s">
        <v>3793</v>
      </c>
      <c r="E1319" s="907">
        <v>1800</v>
      </c>
      <c r="F1319" s="908">
        <v>75995361</v>
      </c>
      <c r="G1319" s="910" t="s">
        <v>4028</v>
      </c>
      <c r="H1319" s="911" t="s">
        <v>3599</v>
      </c>
      <c r="I1319" s="911" t="s">
        <v>1411</v>
      </c>
      <c r="J1319" s="910" t="s">
        <v>4029</v>
      </c>
      <c r="K1319" s="909">
        <v>1</v>
      </c>
      <c r="L1319" s="909">
        <v>3</v>
      </c>
      <c r="M1319" s="907">
        <v>5400</v>
      </c>
      <c r="N1319" s="908"/>
      <c r="O1319" s="908"/>
      <c r="P1319" s="907"/>
      <c r="R1319" s="890"/>
    </row>
    <row r="1320" spans="1:18" s="276" customFormat="1" ht="36">
      <c r="A1320" s="908" t="s">
        <v>3199</v>
      </c>
      <c r="B1320" s="908" t="s">
        <v>1402</v>
      </c>
      <c r="C1320" s="912" t="s">
        <v>4243</v>
      </c>
      <c r="D1320" s="910" t="s">
        <v>3408</v>
      </c>
      <c r="E1320" s="907">
        <v>4000</v>
      </c>
      <c r="F1320" s="908">
        <v>42829268</v>
      </c>
      <c r="G1320" s="910" t="s">
        <v>4030</v>
      </c>
      <c r="H1320" s="911" t="s">
        <v>3323</v>
      </c>
      <c r="I1320" s="911" t="s">
        <v>1411</v>
      </c>
      <c r="J1320" s="910" t="s">
        <v>3830</v>
      </c>
      <c r="K1320" s="909">
        <v>2</v>
      </c>
      <c r="L1320" s="909">
        <v>8</v>
      </c>
      <c r="M1320" s="907">
        <v>32000</v>
      </c>
      <c r="N1320" s="908"/>
      <c r="O1320" s="908"/>
      <c r="P1320" s="907"/>
      <c r="R1320" s="890"/>
    </row>
    <row r="1321" spans="1:18" s="276" customFormat="1" ht="36">
      <c r="A1321" s="908" t="s">
        <v>3199</v>
      </c>
      <c r="B1321" s="908" t="s">
        <v>1402</v>
      </c>
      <c r="C1321" s="912" t="s">
        <v>4243</v>
      </c>
      <c r="D1321" s="910" t="s">
        <v>3408</v>
      </c>
      <c r="E1321" s="907">
        <v>5500</v>
      </c>
      <c r="F1321" s="908">
        <v>43042230</v>
      </c>
      <c r="G1321" s="910" t="s">
        <v>4031</v>
      </c>
      <c r="H1321" s="911" t="s">
        <v>3323</v>
      </c>
      <c r="I1321" s="911" t="s">
        <v>1411</v>
      </c>
      <c r="J1321" s="910" t="s">
        <v>3815</v>
      </c>
      <c r="K1321" s="909">
        <v>3</v>
      </c>
      <c r="L1321" s="909">
        <v>9</v>
      </c>
      <c r="M1321" s="907">
        <v>49500</v>
      </c>
      <c r="N1321" s="908">
        <v>1</v>
      </c>
      <c r="O1321" s="908">
        <v>4</v>
      </c>
      <c r="P1321" s="907">
        <v>22000</v>
      </c>
      <c r="R1321" s="890"/>
    </row>
    <row r="1322" spans="1:18" s="276" customFormat="1" ht="36">
      <c r="A1322" s="908" t="s">
        <v>3199</v>
      </c>
      <c r="B1322" s="908" t="s">
        <v>1402</v>
      </c>
      <c r="C1322" s="912" t="s">
        <v>4243</v>
      </c>
      <c r="D1322" s="910" t="s">
        <v>3465</v>
      </c>
      <c r="E1322" s="907">
        <v>2500</v>
      </c>
      <c r="F1322" s="908">
        <v>73607029</v>
      </c>
      <c r="G1322" s="910" t="s">
        <v>4032</v>
      </c>
      <c r="H1322" s="911" t="s">
        <v>3906</v>
      </c>
      <c r="I1322" s="911" t="s">
        <v>1411</v>
      </c>
      <c r="J1322" s="910" t="s">
        <v>4033</v>
      </c>
      <c r="K1322" s="909">
        <v>2</v>
      </c>
      <c r="L1322" s="909">
        <v>7</v>
      </c>
      <c r="M1322" s="907">
        <v>17500</v>
      </c>
      <c r="N1322" s="908"/>
      <c r="O1322" s="908"/>
      <c r="P1322" s="907"/>
      <c r="R1322" s="890"/>
    </row>
    <row r="1323" spans="1:18" s="276" customFormat="1" ht="36">
      <c r="A1323" s="908" t="s">
        <v>3199</v>
      </c>
      <c r="B1323" s="908" t="s">
        <v>1402</v>
      </c>
      <c r="C1323" s="912" t="s">
        <v>4243</v>
      </c>
      <c r="D1323" s="910" t="s">
        <v>3820</v>
      </c>
      <c r="E1323" s="907">
        <v>2000</v>
      </c>
      <c r="F1323" s="908">
        <v>70564490</v>
      </c>
      <c r="G1323" s="910" t="s">
        <v>4034</v>
      </c>
      <c r="H1323" s="911" t="s">
        <v>3906</v>
      </c>
      <c r="I1323" s="911" t="s">
        <v>1411</v>
      </c>
      <c r="J1323" s="910" t="s">
        <v>4035</v>
      </c>
      <c r="K1323" s="909">
        <v>2</v>
      </c>
      <c r="L1323" s="909">
        <v>11</v>
      </c>
      <c r="M1323" s="907">
        <v>22000</v>
      </c>
      <c r="N1323" s="908">
        <v>1</v>
      </c>
      <c r="O1323" s="908">
        <v>5</v>
      </c>
      <c r="P1323" s="907">
        <v>10000</v>
      </c>
      <c r="R1323" s="890"/>
    </row>
    <row r="1324" spans="1:18" s="276" customFormat="1" ht="36">
      <c r="A1324" s="908" t="s">
        <v>3199</v>
      </c>
      <c r="B1324" s="908" t="s">
        <v>1402</v>
      </c>
      <c r="C1324" s="912" t="s">
        <v>4243</v>
      </c>
      <c r="D1324" s="910" t="s">
        <v>3826</v>
      </c>
      <c r="E1324" s="907">
        <v>1500</v>
      </c>
      <c r="F1324" s="908">
        <v>40537334</v>
      </c>
      <c r="G1324" s="910" t="s">
        <v>4036</v>
      </c>
      <c r="H1324" s="911" t="s">
        <v>3828</v>
      </c>
      <c r="I1324" s="911" t="s">
        <v>3828</v>
      </c>
      <c r="J1324" s="910" t="s">
        <v>3828</v>
      </c>
      <c r="K1324" s="909">
        <v>4</v>
      </c>
      <c r="L1324" s="909">
        <v>11</v>
      </c>
      <c r="M1324" s="907">
        <v>16500</v>
      </c>
      <c r="N1324" s="908">
        <v>1</v>
      </c>
      <c r="O1324" s="908">
        <v>5</v>
      </c>
      <c r="P1324" s="907">
        <v>7500</v>
      </c>
      <c r="R1324" s="890"/>
    </row>
    <row r="1325" spans="1:18" s="276" customFormat="1" ht="36">
      <c r="A1325" s="908" t="s">
        <v>3199</v>
      </c>
      <c r="B1325" s="908" t="s">
        <v>1402</v>
      </c>
      <c r="C1325" s="912" t="s">
        <v>4243</v>
      </c>
      <c r="D1325" s="910" t="s">
        <v>3465</v>
      </c>
      <c r="E1325" s="907">
        <v>4348</v>
      </c>
      <c r="F1325" s="908">
        <v>10116797</v>
      </c>
      <c r="G1325" s="910" t="s">
        <v>4037</v>
      </c>
      <c r="H1325" s="911" t="s">
        <v>4038</v>
      </c>
      <c r="I1325" s="911" t="s">
        <v>1411</v>
      </c>
      <c r="J1325" s="910" t="s">
        <v>4039</v>
      </c>
      <c r="K1325" s="909">
        <v>4</v>
      </c>
      <c r="L1325" s="909">
        <v>5</v>
      </c>
      <c r="M1325" s="907">
        <v>21740</v>
      </c>
      <c r="N1325" s="908"/>
      <c r="O1325" s="908"/>
      <c r="P1325" s="907"/>
      <c r="R1325" s="890"/>
    </row>
    <row r="1326" spans="1:18" s="276" customFormat="1" ht="36">
      <c r="A1326" s="908" t="s">
        <v>3199</v>
      </c>
      <c r="B1326" s="908" t="s">
        <v>1402</v>
      </c>
      <c r="C1326" s="912" t="s">
        <v>4243</v>
      </c>
      <c r="D1326" s="910" t="s">
        <v>3826</v>
      </c>
      <c r="E1326" s="907">
        <v>1500</v>
      </c>
      <c r="F1326" s="908">
        <v>70045996</v>
      </c>
      <c r="G1326" s="910" t="s">
        <v>4040</v>
      </c>
      <c r="H1326" s="911" t="s">
        <v>4041</v>
      </c>
      <c r="I1326" s="911" t="s">
        <v>3828</v>
      </c>
      <c r="J1326" s="910" t="s">
        <v>3828</v>
      </c>
      <c r="K1326" s="909">
        <v>3</v>
      </c>
      <c r="L1326" s="909">
        <v>5</v>
      </c>
      <c r="M1326" s="907">
        <v>7500</v>
      </c>
      <c r="N1326" s="908">
        <v>1</v>
      </c>
      <c r="O1326" s="908">
        <v>5</v>
      </c>
      <c r="P1326" s="907">
        <v>7500</v>
      </c>
      <c r="R1326" s="890"/>
    </row>
    <row r="1327" spans="1:18" s="276" customFormat="1" ht="36">
      <c r="A1327" s="908" t="s">
        <v>3199</v>
      </c>
      <c r="B1327" s="908" t="s">
        <v>1402</v>
      </c>
      <c r="C1327" s="912" t="s">
        <v>4243</v>
      </c>
      <c r="D1327" s="910" t="s">
        <v>3465</v>
      </c>
      <c r="E1327" s="907">
        <v>3200</v>
      </c>
      <c r="F1327" s="908">
        <v>47109308</v>
      </c>
      <c r="G1327" s="910" t="s">
        <v>4042</v>
      </c>
      <c r="H1327" s="911" t="s">
        <v>1420</v>
      </c>
      <c r="I1327" s="911" t="s">
        <v>1411</v>
      </c>
      <c r="J1327" s="910" t="s">
        <v>4043</v>
      </c>
      <c r="K1327" s="909">
        <v>1</v>
      </c>
      <c r="L1327" s="909">
        <v>4</v>
      </c>
      <c r="M1327" s="907">
        <v>12800</v>
      </c>
      <c r="N1327" s="908"/>
      <c r="O1327" s="908"/>
      <c r="P1327" s="907"/>
      <c r="R1327" s="890"/>
    </row>
    <row r="1328" spans="1:18" s="276" customFormat="1" ht="36">
      <c r="A1328" s="908" t="s">
        <v>3199</v>
      </c>
      <c r="B1328" s="908" t="s">
        <v>1402</v>
      </c>
      <c r="C1328" s="912" t="s">
        <v>4243</v>
      </c>
      <c r="D1328" s="910" t="s">
        <v>3811</v>
      </c>
      <c r="E1328" s="907">
        <v>6000</v>
      </c>
      <c r="F1328" s="908">
        <v>46137134</v>
      </c>
      <c r="G1328" s="910" t="s">
        <v>4044</v>
      </c>
      <c r="H1328" s="911" t="s">
        <v>2454</v>
      </c>
      <c r="I1328" s="911" t="s">
        <v>1411</v>
      </c>
      <c r="J1328" s="910" t="s">
        <v>3093</v>
      </c>
      <c r="K1328" s="909">
        <v>2</v>
      </c>
      <c r="L1328" s="909">
        <v>6</v>
      </c>
      <c r="M1328" s="907">
        <v>36000</v>
      </c>
      <c r="N1328" s="908"/>
      <c r="O1328" s="908"/>
      <c r="P1328" s="907"/>
      <c r="R1328" s="890"/>
    </row>
    <row r="1329" spans="1:18" s="276" customFormat="1" ht="36">
      <c r="A1329" s="908" t="s">
        <v>3199</v>
      </c>
      <c r="B1329" s="908" t="s">
        <v>1402</v>
      </c>
      <c r="C1329" s="912" t="s">
        <v>4243</v>
      </c>
      <c r="D1329" s="910" t="s">
        <v>3700</v>
      </c>
      <c r="E1329" s="907">
        <v>3000</v>
      </c>
      <c r="F1329" s="908">
        <v>45032875</v>
      </c>
      <c r="G1329" s="910" t="s">
        <v>4045</v>
      </c>
      <c r="H1329" s="911" t="s">
        <v>4046</v>
      </c>
      <c r="I1329" s="911" t="s">
        <v>1411</v>
      </c>
      <c r="J1329" s="910" t="s">
        <v>4047</v>
      </c>
      <c r="K1329" s="909">
        <v>2</v>
      </c>
      <c r="L1329" s="909">
        <v>11</v>
      </c>
      <c r="M1329" s="907">
        <v>33000</v>
      </c>
      <c r="N1329" s="908">
        <v>1</v>
      </c>
      <c r="O1329" s="908">
        <v>5</v>
      </c>
      <c r="P1329" s="907">
        <v>15000</v>
      </c>
      <c r="R1329" s="890"/>
    </row>
    <row r="1330" spans="1:18" s="276" customFormat="1" ht="36">
      <c r="A1330" s="908" t="s">
        <v>3199</v>
      </c>
      <c r="B1330" s="908" t="s">
        <v>1402</v>
      </c>
      <c r="C1330" s="912" t="s">
        <v>4243</v>
      </c>
      <c r="D1330" s="910" t="s">
        <v>3700</v>
      </c>
      <c r="E1330" s="907">
        <v>2300</v>
      </c>
      <c r="F1330" s="908">
        <v>48615679</v>
      </c>
      <c r="G1330" s="910" t="s">
        <v>4048</v>
      </c>
      <c r="H1330" s="911" t="s">
        <v>1477</v>
      </c>
      <c r="I1330" s="911" t="s">
        <v>1411</v>
      </c>
      <c r="J1330" s="910" t="s">
        <v>1478</v>
      </c>
      <c r="K1330" s="909">
        <v>2</v>
      </c>
      <c r="L1330" s="909">
        <v>11</v>
      </c>
      <c r="M1330" s="907">
        <v>25300</v>
      </c>
      <c r="N1330" s="908">
        <v>1</v>
      </c>
      <c r="O1330" s="908">
        <v>5</v>
      </c>
      <c r="P1330" s="907">
        <v>11500</v>
      </c>
      <c r="R1330" s="890"/>
    </row>
    <row r="1331" spans="1:18" s="276" customFormat="1" ht="36">
      <c r="A1331" s="908" t="s">
        <v>3199</v>
      </c>
      <c r="B1331" s="908" t="s">
        <v>1402</v>
      </c>
      <c r="C1331" s="912" t="s">
        <v>4243</v>
      </c>
      <c r="D1331" s="910" t="s">
        <v>3408</v>
      </c>
      <c r="E1331" s="907">
        <v>7000</v>
      </c>
      <c r="F1331" s="908" t="s">
        <v>4049</v>
      </c>
      <c r="G1331" s="910" t="s">
        <v>4050</v>
      </c>
      <c r="H1331" s="911" t="s">
        <v>3323</v>
      </c>
      <c r="I1331" s="911" t="s">
        <v>1411</v>
      </c>
      <c r="J1331" s="910" t="s">
        <v>3815</v>
      </c>
      <c r="K1331" s="909">
        <v>3</v>
      </c>
      <c r="L1331" s="909">
        <v>8</v>
      </c>
      <c r="M1331" s="907">
        <v>56000</v>
      </c>
      <c r="N1331" s="908">
        <v>1</v>
      </c>
      <c r="O1331" s="908">
        <v>4</v>
      </c>
      <c r="P1331" s="907">
        <v>28000</v>
      </c>
      <c r="R1331" s="890"/>
    </row>
    <row r="1332" spans="1:18" s="276" customFormat="1" ht="36">
      <c r="A1332" s="908" t="s">
        <v>3199</v>
      </c>
      <c r="B1332" s="908" t="s">
        <v>1402</v>
      </c>
      <c r="C1332" s="912" t="s">
        <v>4243</v>
      </c>
      <c r="D1332" s="910" t="s">
        <v>3891</v>
      </c>
      <c r="E1332" s="907">
        <v>3500</v>
      </c>
      <c r="F1332" s="908">
        <v>48075900</v>
      </c>
      <c r="G1332" s="910" t="s">
        <v>4051</v>
      </c>
      <c r="H1332" s="911" t="s">
        <v>2761</v>
      </c>
      <c r="I1332" s="911" t="s">
        <v>1411</v>
      </c>
      <c r="J1332" s="910" t="s">
        <v>2761</v>
      </c>
      <c r="K1332" s="909">
        <v>2</v>
      </c>
      <c r="L1332" s="909">
        <v>8</v>
      </c>
      <c r="M1332" s="907">
        <v>28000</v>
      </c>
      <c r="N1332" s="908"/>
      <c r="O1332" s="908"/>
      <c r="P1332" s="907"/>
      <c r="R1332" s="890"/>
    </row>
    <row r="1333" spans="1:18" s="276" customFormat="1" ht="36">
      <c r="A1333" s="908" t="s">
        <v>3199</v>
      </c>
      <c r="B1333" s="908" t="s">
        <v>1402</v>
      </c>
      <c r="C1333" s="912" t="s">
        <v>4243</v>
      </c>
      <c r="D1333" s="910" t="s">
        <v>3408</v>
      </c>
      <c r="E1333" s="907">
        <v>3000</v>
      </c>
      <c r="F1333" s="908">
        <v>43380909</v>
      </c>
      <c r="G1333" s="910" t="s">
        <v>4052</v>
      </c>
      <c r="H1333" s="911" t="s">
        <v>3323</v>
      </c>
      <c r="I1333" s="911" t="s">
        <v>1411</v>
      </c>
      <c r="J1333" s="910" t="s">
        <v>3830</v>
      </c>
      <c r="K1333" s="909">
        <v>3</v>
      </c>
      <c r="L1333" s="909">
        <v>9</v>
      </c>
      <c r="M1333" s="907">
        <v>27000</v>
      </c>
      <c r="N1333" s="908">
        <v>1</v>
      </c>
      <c r="O1333" s="908">
        <v>4</v>
      </c>
      <c r="P1333" s="907">
        <v>14000</v>
      </c>
      <c r="R1333" s="890"/>
    </row>
    <row r="1334" spans="1:18" s="276" customFormat="1" ht="36">
      <c r="A1334" s="908" t="s">
        <v>3199</v>
      </c>
      <c r="B1334" s="908" t="s">
        <v>1402</v>
      </c>
      <c r="C1334" s="912" t="s">
        <v>4243</v>
      </c>
      <c r="D1334" s="910" t="s">
        <v>3588</v>
      </c>
      <c r="E1334" s="907">
        <v>6500</v>
      </c>
      <c r="F1334" s="908">
        <v>45070711</v>
      </c>
      <c r="G1334" s="910" t="s">
        <v>4053</v>
      </c>
      <c r="H1334" s="911" t="s">
        <v>2743</v>
      </c>
      <c r="I1334" s="911" t="s">
        <v>1411</v>
      </c>
      <c r="J1334" s="910" t="s">
        <v>4054</v>
      </c>
      <c r="K1334" s="909">
        <v>2</v>
      </c>
      <c r="L1334" s="909">
        <v>6</v>
      </c>
      <c r="M1334" s="907">
        <v>39000</v>
      </c>
      <c r="N1334" s="908">
        <v>2</v>
      </c>
      <c r="O1334" s="908">
        <v>5</v>
      </c>
      <c r="P1334" s="907">
        <v>32500</v>
      </c>
      <c r="R1334" s="890"/>
    </row>
    <row r="1335" spans="1:18" s="276" customFormat="1" ht="36">
      <c r="A1335" s="908" t="s">
        <v>3199</v>
      </c>
      <c r="B1335" s="908" t="s">
        <v>1402</v>
      </c>
      <c r="C1335" s="912" t="s">
        <v>4243</v>
      </c>
      <c r="D1335" s="910" t="s">
        <v>3904</v>
      </c>
      <c r="E1335" s="907">
        <v>3000</v>
      </c>
      <c r="F1335" s="908" t="s">
        <v>4055</v>
      </c>
      <c r="G1335" s="910" t="s">
        <v>4056</v>
      </c>
      <c r="H1335" s="911" t="s">
        <v>1414</v>
      </c>
      <c r="I1335" s="911" t="s">
        <v>1411</v>
      </c>
      <c r="J1335" s="910" t="s">
        <v>3977</v>
      </c>
      <c r="K1335" s="909">
        <v>2</v>
      </c>
      <c r="L1335" s="909">
        <v>11</v>
      </c>
      <c r="M1335" s="907">
        <v>33000</v>
      </c>
      <c r="N1335" s="908">
        <v>1</v>
      </c>
      <c r="O1335" s="908">
        <v>5</v>
      </c>
      <c r="P1335" s="907">
        <v>15000</v>
      </c>
      <c r="R1335" s="890"/>
    </row>
    <row r="1336" spans="1:18" s="276" customFormat="1" ht="36">
      <c r="A1336" s="908" t="s">
        <v>3199</v>
      </c>
      <c r="B1336" s="908" t="s">
        <v>1402</v>
      </c>
      <c r="C1336" s="912" t="s">
        <v>4243</v>
      </c>
      <c r="D1336" s="910" t="s">
        <v>3820</v>
      </c>
      <c r="E1336" s="907">
        <v>4300</v>
      </c>
      <c r="F1336" s="908">
        <v>43335374</v>
      </c>
      <c r="G1336" s="910" t="s">
        <v>4057</v>
      </c>
      <c r="H1336" s="911" t="s">
        <v>3599</v>
      </c>
      <c r="I1336" s="911" t="s">
        <v>1411</v>
      </c>
      <c r="J1336" s="910" t="s">
        <v>4058</v>
      </c>
      <c r="K1336" s="909">
        <v>2</v>
      </c>
      <c r="L1336" s="909">
        <v>11</v>
      </c>
      <c r="M1336" s="907">
        <v>47300</v>
      </c>
      <c r="N1336" s="908">
        <v>1</v>
      </c>
      <c r="O1336" s="908">
        <v>5</v>
      </c>
      <c r="P1336" s="907">
        <v>21500</v>
      </c>
      <c r="R1336" s="890"/>
    </row>
    <row r="1337" spans="1:18" s="276" customFormat="1" ht="36">
      <c r="A1337" s="908" t="s">
        <v>3199</v>
      </c>
      <c r="B1337" s="908" t="s">
        <v>1402</v>
      </c>
      <c r="C1337" s="912" t="s">
        <v>4243</v>
      </c>
      <c r="D1337" s="910" t="s">
        <v>3318</v>
      </c>
      <c r="E1337" s="907">
        <v>3500</v>
      </c>
      <c r="F1337" s="908">
        <v>71903019</v>
      </c>
      <c r="G1337" s="910" t="s">
        <v>4059</v>
      </c>
      <c r="H1337" s="911" t="s">
        <v>1795</v>
      </c>
      <c r="I1337" s="911" t="s">
        <v>1411</v>
      </c>
      <c r="J1337" s="910" t="s">
        <v>3830</v>
      </c>
      <c r="K1337" s="909">
        <v>3</v>
      </c>
      <c r="L1337" s="909">
        <v>8</v>
      </c>
      <c r="M1337" s="907">
        <v>28000</v>
      </c>
      <c r="N1337" s="908">
        <v>1</v>
      </c>
      <c r="O1337" s="908">
        <v>5</v>
      </c>
      <c r="P1337" s="907">
        <v>17500</v>
      </c>
      <c r="R1337" s="890"/>
    </row>
    <row r="1338" spans="1:18" s="276" customFormat="1" ht="36">
      <c r="A1338" s="908" t="s">
        <v>3199</v>
      </c>
      <c r="B1338" s="908" t="s">
        <v>1402</v>
      </c>
      <c r="C1338" s="912" t="s">
        <v>4243</v>
      </c>
      <c r="D1338" s="910" t="s">
        <v>3408</v>
      </c>
      <c r="E1338" s="907">
        <v>4000</v>
      </c>
      <c r="F1338" s="908">
        <v>47963824</v>
      </c>
      <c r="G1338" s="910" t="s">
        <v>4060</v>
      </c>
      <c r="H1338" s="911" t="s">
        <v>3323</v>
      </c>
      <c r="I1338" s="911" t="s">
        <v>1411</v>
      </c>
      <c r="J1338" s="910" t="s">
        <v>3830</v>
      </c>
      <c r="K1338" s="909">
        <v>2</v>
      </c>
      <c r="L1338" s="909">
        <v>8</v>
      </c>
      <c r="M1338" s="907">
        <v>32000</v>
      </c>
      <c r="N1338" s="908"/>
      <c r="O1338" s="908"/>
      <c r="P1338" s="907"/>
      <c r="R1338" s="890"/>
    </row>
    <row r="1339" spans="1:18" s="276" customFormat="1" ht="36">
      <c r="A1339" s="908" t="s">
        <v>3199</v>
      </c>
      <c r="B1339" s="908" t="s">
        <v>1402</v>
      </c>
      <c r="C1339" s="912" t="s">
        <v>4243</v>
      </c>
      <c r="D1339" s="910" t="s">
        <v>3520</v>
      </c>
      <c r="E1339" s="907">
        <v>4000</v>
      </c>
      <c r="F1339" s="908">
        <v>46015296</v>
      </c>
      <c r="G1339" s="910" t="s">
        <v>4061</v>
      </c>
      <c r="H1339" s="911" t="s">
        <v>3323</v>
      </c>
      <c r="I1339" s="911" t="s">
        <v>1411</v>
      </c>
      <c r="J1339" s="910" t="s">
        <v>3866</v>
      </c>
      <c r="K1339" s="909">
        <v>2</v>
      </c>
      <c r="L1339" s="909">
        <v>8</v>
      </c>
      <c r="M1339" s="907">
        <v>32000</v>
      </c>
      <c r="N1339" s="908">
        <v>1</v>
      </c>
      <c r="O1339" s="908">
        <v>4</v>
      </c>
      <c r="P1339" s="907">
        <v>16000</v>
      </c>
      <c r="R1339" s="890"/>
    </row>
    <row r="1340" spans="1:18" s="276" customFormat="1" ht="36">
      <c r="A1340" s="908" t="s">
        <v>3199</v>
      </c>
      <c r="B1340" s="908" t="s">
        <v>1402</v>
      </c>
      <c r="C1340" s="912" t="s">
        <v>4243</v>
      </c>
      <c r="D1340" s="910" t="s">
        <v>3520</v>
      </c>
      <c r="E1340" s="907">
        <v>3500</v>
      </c>
      <c r="F1340" s="908" t="s">
        <v>4062</v>
      </c>
      <c r="G1340" s="910" t="s">
        <v>4063</v>
      </c>
      <c r="H1340" s="911" t="s">
        <v>3323</v>
      </c>
      <c r="I1340" s="911" t="s">
        <v>1411</v>
      </c>
      <c r="J1340" s="910" t="s">
        <v>3866</v>
      </c>
      <c r="K1340" s="909">
        <v>1</v>
      </c>
      <c r="L1340" s="909">
        <v>1</v>
      </c>
      <c r="M1340" s="907">
        <v>3500</v>
      </c>
      <c r="N1340" s="908"/>
      <c r="O1340" s="908"/>
      <c r="P1340" s="907"/>
      <c r="R1340" s="890"/>
    </row>
    <row r="1341" spans="1:18" s="276" customFormat="1" ht="36">
      <c r="A1341" s="908" t="s">
        <v>3199</v>
      </c>
      <c r="B1341" s="908" t="s">
        <v>1402</v>
      </c>
      <c r="C1341" s="912" t="s">
        <v>4243</v>
      </c>
      <c r="D1341" s="910" t="s">
        <v>3408</v>
      </c>
      <c r="E1341" s="907">
        <v>5000</v>
      </c>
      <c r="F1341" s="908">
        <v>41284703</v>
      </c>
      <c r="G1341" s="910" t="s">
        <v>4064</v>
      </c>
      <c r="H1341" s="911" t="s">
        <v>3323</v>
      </c>
      <c r="I1341" s="911" t="s">
        <v>1411</v>
      </c>
      <c r="J1341" s="910" t="s">
        <v>4065</v>
      </c>
      <c r="K1341" s="909">
        <v>2</v>
      </c>
      <c r="L1341" s="909">
        <v>9</v>
      </c>
      <c r="M1341" s="907">
        <v>45000</v>
      </c>
      <c r="N1341" s="908"/>
      <c r="O1341" s="908"/>
      <c r="P1341" s="907"/>
      <c r="R1341" s="890"/>
    </row>
    <row r="1342" spans="1:18" s="276" customFormat="1" ht="36">
      <c r="A1342" s="908" t="s">
        <v>3199</v>
      </c>
      <c r="B1342" s="908" t="s">
        <v>1402</v>
      </c>
      <c r="C1342" s="912" t="s">
        <v>4243</v>
      </c>
      <c r="D1342" s="910" t="s">
        <v>3408</v>
      </c>
      <c r="E1342" s="907">
        <v>4000</v>
      </c>
      <c r="F1342" s="908">
        <v>46841157</v>
      </c>
      <c r="G1342" s="910" t="s">
        <v>4066</v>
      </c>
      <c r="H1342" s="911" t="s">
        <v>3323</v>
      </c>
      <c r="I1342" s="911" t="s">
        <v>1411</v>
      </c>
      <c r="J1342" s="910" t="s">
        <v>3830</v>
      </c>
      <c r="K1342" s="909">
        <v>2</v>
      </c>
      <c r="L1342" s="909">
        <v>4</v>
      </c>
      <c r="M1342" s="907">
        <v>16000</v>
      </c>
      <c r="N1342" s="908">
        <v>1</v>
      </c>
      <c r="O1342" s="908">
        <v>4</v>
      </c>
      <c r="P1342" s="907">
        <v>16000</v>
      </c>
      <c r="R1342" s="890"/>
    </row>
    <row r="1343" spans="1:18" s="276" customFormat="1" ht="36">
      <c r="A1343" s="908" t="s">
        <v>3199</v>
      </c>
      <c r="B1343" s="908" t="s">
        <v>1402</v>
      </c>
      <c r="C1343" s="912" t="s">
        <v>4243</v>
      </c>
      <c r="D1343" s="910" t="s">
        <v>3465</v>
      </c>
      <c r="E1343" s="907">
        <v>3200</v>
      </c>
      <c r="F1343" s="908">
        <v>47563179</v>
      </c>
      <c r="G1343" s="910" t="s">
        <v>4067</v>
      </c>
      <c r="H1343" s="911" t="s">
        <v>1420</v>
      </c>
      <c r="I1343" s="911" t="s">
        <v>1411</v>
      </c>
      <c r="J1343" s="910" t="s">
        <v>4068</v>
      </c>
      <c r="K1343" s="909">
        <v>1</v>
      </c>
      <c r="L1343" s="909">
        <v>4</v>
      </c>
      <c r="M1343" s="907">
        <v>12800</v>
      </c>
      <c r="N1343" s="908"/>
      <c r="O1343" s="908"/>
      <c r="P1343" s="907"/>
      <c r="R1343" s="890"/>
    </row>
    <row r="1344" spans="1:18" s="276" customFormat="1" ht="36">
      <c r="A1344" s="908" t="s">
        <v>3199</v>
      </c>
      <c r="B1344" s="908" t="s">
        <v>1402</v>
      </c>
      <c r="C1344" s="912" t="s">
        <v>4243</v>
      </c>
      <c r="D1344" s="910" t="s">
        <v>3318</v>
      </c>
      <c r="E1344" s="907">
        <v>5500</v>
      </c>
      <c r="F1344" s="908">
        <v>46928583</v>
      </c>
      <c r="G1344" s="910" t="s">
        <v>3385</v>
      </c>
      <c r="H1344" s="911" t="s">
        <v>3323</v>
      </c>
      <c r="I1344" s="911" t="s">
        <v>1411</v>
      </c>
      <c r="J1344" s="910" t="s">
        <v>3815</v>
      </c>
      <c r="K1344" s="909">
        <v>2</v>
      </c>
      <c r="L1344" s="909">
        <v>9</v>
      </c>
      <c r="M1344" s="907">
        <v>49500</v>
      </c>
      <c r="N1344" s="908"/>
      <c r="O1344" s="908"/>
      <c r="P1344" s="907"/>
      <c r="R1344" s="890"/>
    </row>
    <row r="1345" spans="1:18" s="276" customFormat="1" ht="36">
      <c r="A1345" s="908" t="s">
        <v>3199</v>
      </c>
      <c r="B1345" s="908" t="s">
        <v>1402</v>
      </c>
      <c r="C1345" s="912" t="s">
        <v>4243</v>
      </c>
      <c r="D1345" s="910" t="s">
        <v>3520</v>
      </c>
      <c r="E1345" s="907">
        <v>5000</v>
      </c>
      <c r="F1345" s="908">
        <v>31032612</v>
      </c>
      <c r="G1345" s="910" t="s">
        <v>4069</v>
      </c>
      <c r="H1345" s="911" t="s">
        <v>3323</v>
      </c>
      <c r="I1345" s="911" t="s">
        <v>1411</v>
      </c>
      <c r="J1345" s="910" t="s">
        <v>4070</v>
      </c>
      <c r="K1345" s="909">
        <v>2</v>
      </c>
      <c r="L1345" s="909">
        <v>4</v>
      </c>
      <c r="M1345" s="907">
        <v>20000</v>
      </c>
      <c r="N1345" s="908"/>
      <c r="O1345" s="908"/>
      <c r="P1345" s="907"/>
      <c r="R1345" s="890"/>
    </row>
    <row r="1346" spans="1:18" s="276" customFormat="1" ht="36">
      <c r="A1346" s="908" t="s">
        <v>3199</v>
      </c>
      <c r="B1346" s="908" t="s">
        <v>1402</v>
      </c>
      <c r="C1346" s="912" t="s">
        <v>4243</v>
      </c>
      <c r="D1346" s="910" t="s">
        <v>3826</v>
      </c>
      <c r="E1346" s="907">
        <v>1500</v>
      </c>
      <c r="F1346" s="908">
        <v>74933438</v>
      </c>
      <c r="G1346" s="910" t="s">
        <v>4071</v>
      </c>
      <c r="H1346" s="911" t="s">
        <v>3828</v>
      </c>
      <c r="I1346" s="911" t="s">
        <v>3828</v>
      </c>
      <c r="J1346" s="910" t="s">
        <v>3828</v>
      </c>
      <c r="K1346" s="909">
        <v>1</v>
      </c>
      <c r="L1346" s="909">
        <v>3</v>
      </c>
      <c r="M1346" s="907">
        <v>4500</v>
      </c>
      <c r="N1346" s="908"/>
      <c r="O1346" s="908"/>
      <c r="P1346" s="907"/>
      <c r="R1346" s="890"/>
    </row>
    <row r="1347" spans="1:18" s="276" customFormat="1" ht="36">
      <c r="A1347" s="908" t="s">
        <v>3199</v>
      </c>
      <c r="B1347" s="908" t="s">
        <v>1402</v>
      </c>
      <c r="C1347" s="912" t="s">
        <v>4243</v>
      </c>
      <c r="D1347" s="910" t="s">
        <v>3408</v>
      </c>
      <c r="E1347" s="907">
        <v>6000</v>
      </c>
      <c r="F1347" s="908">
        <v>43540870</v>
      </c>
      <c r="G1347" s="910" t="s">
        <v>4072</v>
      </c>
      <c r="H1347" s="911" t="s">
        <v>3903</v>
      </c>
      <c r="I1347" s="911" t="s">
        <v>1411</v>
      </c>
      <c r="J1347" s="910" t="s">
        <v>3815</v>
      </c>
      <c r="K1347" s="909">
        <v>3</v>
      </c>
      <c r="L1347" s="909">
        <v>9</v>
      </c>
      <c r="M1347" s="907">
        <v>54000</v>
      </c>
      <c r="N1347" s="908">
        <v>1</v>
      </c>
      <c r="O1347" s="908">
        <v>4</v>
      </c>
      <c r="P1347" s="907">
        <v>24000</v>
      </c>
      <c r="R1347" s="890"/>
    </row>
    <row r="1348" spans="1:18" s="276" customFormat="1" ht="36">
      <c r="A1348" s="908" t="s">
        <v>3199</v>
      </c>
      <c r="B1348" s="908" t="s">
        <v>1402</v>
      </c>
      <c r="C1348" s="912" t="s">
        <v>4243</v>
      </c>
      <c r="D1348" s="910" t="s">
        <v>3820</v>
      </c>
      <c r="E1348" s="907">
        <v>5500</v>
      </c>
      <c r="F1348" s="908" t="s">
        <v>4073</v>
      </c>
      <c r="G1348" s="910" t="s">
        <v>4074</v>
      </c>
      <c r="H1348" s="911" t="s">
        <v>1417</v>
      </c>
      <c r="I1348" s="911" t="s">
        <v>1411</v>
      </c>
      <c r="J1348" s="910" t="s">
        <v>2883</v>
      </c>
      <c r="K1348" s="909">
        <v>1</v>
      </c>
      <c r="L1348" s="909">
        <v>2</v>
      </c>
      <c r="M1348" s="907">
        <v>11000</v>
      </c>
      <c r="N1348" s="908">
        <v>1</v>
      </c>
      <c r="O1348" s="908">
        <v>4</v>
      </c>
      <c r="P1348" s="907">
        <v>30000</v>
      </c>
      <c r="R1348" s="890"/>
    </row>
    <row r="1349" spans="1:18" s="276" customFormat="1" ht="36">
      <c r="A1349" s="908" t="s">
        <v>3199</v>
      </c>
      <c r="B1349" s="908" t="s">
        <v>1402</v>
      </c>
      <c r="C1349" s="912" t="s">
        <v>4243</v>
      </c>
      <c r="D1349" s="910" t="s">
        <v>3654</v>
      </c>
      <c r="E1349" s="907">
        <v>6000</v>
      </c>
      <c r="F1349" s="908" t="s">
        <v>4075</v>
      </c>
      <c r="G1349" s="910" t="s">
        <v>4076</v>
      </c>
      <c r="H1349" s="911" t="s">
        <v>3971</v>
      </c>
      <c r="I1349" s="911" t="s">
        <v>1411</v>
      </c>
      <c r="J1349" s="910" t="s">
        <v>4077</v>
      </c>
      <c r="K1349" s="909"/>
      <c r="L1349" s="909"/>
      <c r="M1349" s="907"/>
      <c r="N1349" s="908">
        <v>1</v>
      </c>
      <c r="O1349" s="908">
        <v>4</v>
      </c>
      <c r="P1349" s="907">
        <v>24000</v>
      </c>
      <c r="R1349" s="890"/>
    </row>
    <row r="1350" spans="1:18" s="276" customFormat="1" ht="36">
      <c r="A1350" s="908" t="s">
        <v>3199</v>
      </c>
      <c r="B1350" s="908" t="s">
        <v>1402</v>
      </c>
      <c r="C1350" s="912" t="s">
        <v>4243</v>
      </c>
      <c r="D1350" s="910" t="s">
        <v>3318</v>
      </c>
      <c r="E1350" s="907">
        <v>3500</v>
      </c>
      <c r="F1350" s="908">
        <v>71085332</v>
      </c>
      <c r="G1350" s="910" t="s">
        <v>4078</v>
      </c>
      <c r="H1350" s="911" t="s">
        <v>3903</v>
      </c>
      <c r="I1350" s="911" t="s">
        <v>1411</v>
      </c>
      <c r="J1350" s="910" t="s">
        <v>3815</v>
      </c>
      <c r="K1350" s="909"/>
      <c r="L1350" s="909"/>
      <c r="M1350" s="907"/>
      <c r="N1350" s="908">
        <v>1</v>
      </c>
      <c r="O1350" s="908">
        <v>3</v>
      </c>
      <c r="P1350" s="907">
        <v>10500</v>
      </c>
      <c r="R1350" s="890"/>
    </row>
    <row r="1351" spans="1:18" s="276" customFormat="1" ht="36">
      <c r="A1351" s="908" t="s">
        <v>3199</v>
      </c>
      <c r="B1351" s="908" t="s">
        <v>1402</v>
      </c>
      <c r="C1351" s="912" t="s">
        <v>4243</v>
      </c>
      <c r="D1351" s="910" t="s">
        <v>3318</v>
      </c>
      <c r="E1351" s="907">
        <v>3500</v>
      </c>
      <c r="F1351" s="908" t="s">
        <v>4079</v>
      </c>
      <c r="G1351" s="910" t="s">
        <v>4080</v>
      </c>
      <c r="H1351" s="911" t="s">
        <v>4081</v>
      </c>
      <c r="I1351" s="911" t="s">
        <v>1411</v>
      </c>
      <c r="J1351" s="910" t="s">
        <v>4082</v>
      </c>
      <c r="K1351" s="909"/>
      <c r="L1351" s="909"/>
      <c r="M1351" s="907"/>
      <c r="N1351" s="908">
        <v>1</v>
      </c>
      <c r="O1351" s="908">
        <v>4</v>
      </c>
      <c r="P1351" s="907">
        <v>14000</v>
      </c>
      <c r="R1351" s="890"/>
    </row>
    <row r="1352" spans="1:18" s="276" customFormat="1" ht="36">
      <c r="A1352" s="908" t="s">
        <v>3199</v>
      </c>
      <c r="B1352" s="908" t="s">
        <v>1402</v>
      </c>
      <c r="C1352" s="912" t="s">
        <v>4243</v>
      </c>
      <c r="D1352" s="910" t="s">
        <v>3811</v>
      </c>
      <c r="E1352" s="907">
        <v>6500</v>
      </c>
      <c r="F1352" s="908">
        <v>9993582</v>
      </c>
      <c r="G1352" s="910" t="s">
        <v>4083</v>
      </c>
      <c r="H1352" s="911" t="s">
        <v>1410</v>
      </c>
      <c r="I1352" s="911" t="s">
        <v>1411</v>
      </c>
      <c r="J1352" s="910" t="s">
        <v>2761</v>
      </c>
      <c r="K1352" s="909"/>
      <c r="L1352" s="909"/>
      <c r="M1352" s="907"/>
      <c r="N1352" s="908">
        <v>2</v>
      </c>
      <c r="O1352" s="908">
        <v>5</v>
      </c>
      <c r="P1352" s="907">
        <v>32500</v>
      </c>
      <c r="R1352" s="890"/>
    </row>
    <row r="1353" spans="1:18" s="276" customFormat="1" ht="36">
      <c r="A1353" s="908" t="s">
        <v>3199</v>
      </c>
      <c r="B1353" s="908" t="s">
        <v>1402</v>
      </c>
      <c r="C1353" s="912" t="s">
        <v>4243</v>
      </c>
      <c r="D1353" s="910" t="s">
        <v>3985</v>
      </c>
      <c r="E1353" s="907">
        <v>4500</v>
      </c>
      <c r="F1353" s="908">
        <v>46963626</v>
      </c>
      <c r="G1353" s="910" t="s">
        <v>3679</v>
      </c>
      <c r="H1353" s="911" t="s">
        <v>1471</v>
      </c>
      <c r="I1353" s="911" t="s">
        <v>1411</v>
      </c>
      <c r="J1353" s="910" t="s">
        <v>3987</v>
      </c>
      <c r="K1353" s="909">
        <v>3</v>
      </c>
      <c r="L1353" s="909">
        <v>6</v>
      </c>
      <c r="M1353" s="907">
        <v>27000</v>
      </c>
      <c r="N1353" s="908"/>
      <c r="O1353" s="908"/>
      <c r="P1353" s="907"/>
      <c r="R1353" s="890"/>
    </row>
    <row r="1354" spans="1:18" s="276" customFormat="1" ht="36">
      <c r="A1354" s="908" t="s">
        <v>3199</v>
      </c>
      <c r="B1354" s="908" t="s">
        <v>1402</v>
      </c>
      <c r="C1354" s="912" t="s">
        <v>4243</v>
      </c>
      <c r="D1354" s="910" t="s">
        <v>3729</v>
      </c>
      <c r="E1354" s="907">
        <v>6500</v>
      </c>
      <c r="F1354" s="908">
        <v>41311920</v>
      </c>
      <c r="G1354" s="910" t="s">
        <v>4084</v>
      </c>
      <c r="H1354" s="911" t="s">
        <v>1414</v>
      </c>
      <c r="I1354" s="911" t="s">
        <v>1411</v>
      </c>
      <c r="J1354" s="910" t="s">
        <v>4085</v>
      </c>
      <c r="K1354" s="909">
        <v>1</v>
      </c>
      <c r="L1354" s="909">
        <v>2</v>
      </c>
      <c r="M1354" s="907">
        <v>13000</v>
      </c>
      <c r="N1354" s="908"/>
      <c r="O1354" s="908"/>
      <c r="P1354" s="907"/>
      <c r="R1354" s="890"/>
    </row>
    <row r="1355" spans="1:18" s="276" customFormat="1" ht="36">
      <c r="A1355" s="908" t="s">
        <v>3199</v>
      </c>
      <c r="B1355" s="908" t="s">
        <v>1402</v>
      </c>
      <c r="C1355" s="912" t="s">
        <v>4243</v>
      </c>
      <c r="D1355" s="910" t="s">
        <v>3318</v>
      </c>
      <c r="E1355" s="907">
        <v>3000</v>
      </c>
      <c r="F1355" s="908">
        <v>45148164</v>
      </c>
      <c r="G1355" s="910" t="s">
        <v>4086</v>
      </c>
      <c r="H1355" s="911" t="s">
        <v>1748</v>
      </c>
      <c r="I1355" s="911" t="s">
        <v>1411</v>
      </c>
      <c r="J1355" s="910" t="s">
        <v>4087</v>
      </c>
      <c r="K1355" s="909">
        <v>2</v>
      </c>
      <c r="L1355" s="909">
        <v>3</v>
      </c>
      <c r="M1355" s="907">
        <v>5000</v>
      </c>
      <c r="N1355" s="908">
        <v>2</v>
      </c>
      <c r="O1355" s="908">
        <v>5</v>
      </c>
      <c r="P1355" s="907">
        <v>15000</v>
      </c>
      <c r="R1355" s="890"/>
    </row>
    <row r="1356" spans="1:18" s="276" customFormat="1" ht="36">
      <c r="A1356" s="908" t="s">
        <v>3199</v>
      </c>
      <c r="B1356" s="908" t="s">
        <v>1402</v>
      </c>
      <c r="C1356" s="912" t="s">
        <v>4243</v>
      </c>
      <c r="D1356" s="910" t="s">
        <v>3408</v>
      </c>
      <c r="E1356" s="907">
        <v>3500</v>
      </c>
      <c r="F1356" s="908">
        <v>73889636</v>
      </c>
      <c r="G1356" s="910" t="s">
        <v>4088</v>
      </c>
      <c r="H1356" s="911" t="s">
        <v>3323</v>
      </c>
      <c r="I1356" s="911" t="s">
        <v>1411</v>
      </c>
      <c r="J1356" s="910" t="s">
        <v>3830</v>
      </c>
      <c r="K1356" s="909">
        <v>2</v>
      </c>
      <c r="L1356" s="909">
        <v>7</v>
      </c>
      <c r="M1356" s="907">
        <v>24500</v>
      </c>
      <c r="N1356" s="908">
        <v>1</v>
      </c>
      <c r="O1356" s="908">
        <v>4</v>
      </c>
      <c r="P1356" s="907">
        <v>14000</v>
      </c>
      <c r="R1356" s="890"/>
    </row>
    <row r="1357" spans="1:18" s="276" customFormat="1" ht="36">
      <c r="A1357" s="908" t="s">
        <v>3199</v>
      </c>
      <c r="B1357" s="908" t="s">
        <v>1402</v>
      </c>
      <c r="C1357" s="912" t="s">
        <v>4243</v>
      </c>
      <c r="D1357" s="910" t="s">
        <v>3318</v>
      </c>
      <c r="E1357" s="907">
        <v>5000</v>
      </c>
      <c r="F1357" s="908" t="s">
        <v>4089</v>
      </c>
      <c r="G1357" s="910" t="s">
        <v>4090</v>
      </c>
      <c r="H1357" s="911" t="s">
        <v>3922</v>
      </c>
      <c r="I1357" s="911" t="s">
        <v>1411</v>
      </c>
      <c r="J1357" s="910" t="s">
        <v>3974</v>
      </c>
      <c r="K1357" s="909"/>
      <c r="L1357" s="909"/>
      <c r="M1357" s="907"/>
      <c r="N1357" s="908">
        <v>1</v>
      </c>
      <c r="O1357" s="908">
        <v>3</v>
      </c>
      <c r="P1357" s="907">
        <v>15000</v>
      </c>
      <c r="R1357" s="890"/>
    </row>
    <row r="1358" spans="1:18" s="276" customFormat="1" ht="36">
      <c r="A1358" s="908" t="s">
        <v>3199</v>
      </c>
      <c r="B1358" s="908" t="s">
        <v>1402</v>
      </c>
      <c r="C1358" s="912" t="s">
        <v>4243</v>
      </c>
      <c r="D1358" s="910" t="s">
        <v>3408</v>
      </c>
      <c r="E1358" s="907">
        <v>3000</v>
      </c>
      <c r="F1358" s="908">
        <v>77569679</v>
      </c>
      <c r="G1358" s="910" t="s">
        <v>4091</v>
      </c>
      <c r="H1358" s="911" t="s">
        <v>3323</v>
      </c>
      <c r="I1358" s="911" t="s">
        <v>1411</v>
      </c>
      <c r="J1358" s="910" t="s">
        <v>4092</v>
      </c>
      <c r="K1358" s="909">
        <v>3</v>
      </c>
      <c r="L1358" s="909">
        <v>8</v>
      </c>
      <c r="M1358" s="907">
        <v>24000</v>
      </c>
      <c r="N1358" s="908"/>
      <c r="O1358" s="908"/>
      <c r="P1358" s="907"/>
      <c r="R1358" s="890"/>
    </row>
    <row r="1359" spans="1:18" s="276" customFormat="1" ht="36">
      <c r="A1359" s="908" t="s">
        <v>3199</v>
      </c>
      <c r="B1359" s="908" t="s">
        <v>1402</v>
      </c>
      <c r="C1359" s="912" t="s">
        <v>4243</v>
      </c>
      <c r="D1359" s="910" t="s">
        <v>3700</v>
      </c>
      <c r="E1359" s="907">
        <v>2000</v>
      </c>
      <c r="F1359" s="908" t="s">
        <v>4093</v>
      </c>
      <c r="G1359" s="910" t="s">
        <v>4094</v>
      </c>
      <c r="H1359" s="911" t="s">
        <v>4041</v>
      </c>
      <c r="I1359" s="911" t="s">
        <v>1411</v>
      </c>
      <c r="J1359" s="910" t="s">
        <v>4095</v>
      </c>
      <c r="K1359" s="909"/>
      <c r="L1359" s="909"/>
      <c r="M1359" s="907"/>
      <c r="N1359" s="908">
        <v>1</v>
      </c>
      <c r="O1359" s="908">
        <v>3</v>
      </c>
      <c r="P1359" s="907">
        <v>6000</v>
      </c>
      <c r="R1359" s="890"/>
    </row>
    <row r="1360" spans="1:18" s="276" customFormat="1" ht="36">
      <c r="A1360" s="908" t="s">
        <v>3199</v>
      </c>
      <c r="B1360" s="908" t="s">
        <v>1402</v>
      </c>
      <c r="C1360" s="912" t="s">
        <v>4243</v>
      </c>
      <c r="D1360" s="910" t="s">
        <v>3465</v>
      </c>
      <c r="E1360" s="907">
        <v>2500</v>
      </c>
      <c r="F1360" s="908">
        <v>46847976</v>
      </c>
      <c r="G1360" s="910" t="s">
        <v>4096</v>
      </c>
      <c r="H1360" s="911" t="s">
        <v>2743</v>
      </c>
      <c r="I1360" s="911" t="s">
        <v>1411</v>
      </c>
      <c r="J1360" s="910" t="s">
        <v>3832</v>
      </c>
      <c r="K1360" s="909">
        <v>2</v>
      </c>
      <c r="L1360" s="909">
        <v>3</v>
      </c>
      <c r="M1360" s="907">
        <v>7500</v>
      </c>
      <c r="N1360" s="908"/>
      <c r="O1360" s="908"/>
      <c r="P1360" s="907"/>
      <c r="R1360" s="890"/>
    </row>
    <row r="1361" spans="1:18" s="276" customFormat="1" ht="36">
      <c r="A1361" s="908" t="s">
        <v>3199</v>
      </c>
      <c r="B1361" s="908" t="s">
        <v>1402</v>
      </c>
      <c r="C1361" s="912" t="s">
        <v>4243</v>
      </c>
      <c r="D1361" s="910" t="s">
        <v>3820</v>
      </c>
      <c r="E1361" s="907">
        <v>2000</v>
      </c>
      <c r="F1361" s="908">
        <v>77129236</v>
      </c>
      <c r="G1361" s="910" t="s">
        <v>4097</v>
      </c>
      <c r="H1361" s="911" t="s">
        <v>1414</v>
      </c>
      <c r="I1361" s="911" t="s">
        <v>1411</v>
      </c>
      <c r="J1361" s="910" t="s">
        <v>4035</v>
      </c>
      <c r="K1361" s="909">
        <v>2</v>
      </c>
      <c r="L1361" s="909">
        <v>11</v>
      </c>
      <c r="M1361" s="907">
        <v>22000</v>
      </c>
      <c r="N1361" s="908">
        <v>1</v>
      </c>
      <c r="O1361" s="908">
        <v>5</v>
      </c>
      <c r="P1361" s="907">
        <v>10000</v>
      </c>
      <c r="R1361" s="890"/>
    </row>
    <row r="1362" spans="1:18" s="276" customFormat="1" ht="36">
      <c r="A1362" s="908" t="s">
        <v>3199</v>
      </c>
      <c r="B1362" s="908" t="s">
        <v>1402</v>
      </c>
      <c r="C1362" s="912" t="s">
        <v>4243</v>
      </c>
      <c r="D1362" s="910" t="s">
        <v>3826</v>
      </c>
      <c r="E1362" s="907">
        <v>2500</v>
      </c>
      <c r="F1362" s="908">
        <v>70039458</v>
      </c>
      <c r="G1362" s="910" t="s">
        <v>4098</v>
      </c>
      <c r="H1362" s="911" t="s">
        <v>3971</v>
      </c>
      <c r="I1362" s="911" t="s">
        <v>1411</v>
      </c>
      <c r="J1362" s="910" t="s">
        <v>4024</v>
      </c>
      <c r="K1362" s="909">
        <v>4</v>
      </c>
      <c r="L1362" s="909">
        <v>11</v>
      </c>
      <c r="M1362" s="907">
        <v>27500</v>
      </c>
      <c r="N1362" s="908">
        <v>1</v>
      </c>
      <c r="O1362" s="908">
        <v>5</v>
      </c>
      <c r="P1362" s="907">
        <v>15000</v>
      </c>
      <c r="R1362" s="890"/>
    </row>
    <row r="1363" spans="1:18" s="276" customFormat="1" ht="36">
      <c r="A1363" s="908" t="s">
        <v>3199</v>
      </c>
      <c r="B1363" s="908" t="s">
        <v>1402</v>
      </c>
      <c r="C1363" s="912" t="s">
        <v>4243</v>
      </c>
      <c r="D1363" s="910" t="s">
        <v>3318</v>
      </c>
      <c r="E1363" s="907">
        <v>5500</v>
      </c>
      <c r="F1363" s="908">
        <v>41743179</v>
      </c>
      <c r="G1363" s="910" t="s">
        <v>4099</v>
      </c>
      <c r="H1363" s="911" t="s">
        <v>3903</v>
      </c>
      <c r="I1363" s="911" t="s">
        <v>1411</v>
      </c>
      <c r="J1363" s="910" t="s">
        <v>3815</v>
      </c>
      <c r="K1363" s="909">
        <v>3</v>
      </c>
      <c r="L1363" s="909">
        <v>9</v>
      </c>
      <c r="M1363" s="907">
        <v>49500</v>
      </c>
      <c r="N1363" s="908">
        <v>1</v>
      </c>
      <c r="O1363" s="908">
        <v>5</v>
      </c>
      <c r="P1363" s="907">
        <v>27500</v>
      </c>
      <c r="R1363" s="890"/>
    </row>
    <row r="1364" spans="1:18" s="276" customFormat="1" ht="36">
      <c r="A1364" s="908" t="s">
        <v>3199</v>
      </c>
      <c r="B1364" s="908" t="s">
        <v>1402</v>
      </c>
      <c r="C1364" s="912" t="s">
        <v>4243</v>
      </c>
      <c r="D1364" s="910" t="s">
        <v>3929</v>
      </c>
      <c r="E1364" s="907">
        <v>2500</v>
      </c>
      <c r="F1364" s="908" t="s">
        <v>4100</v>
      </c>
      <c r="G1364" s="910" t="s">
        <v>4101</v>
      </c>
      <c r="H1364" s="911" t="s">
        <v>1565</v>
      </c>
      <c r="I1364" s="911" t="s">
        <v>1411</v>
      </c>
      <c r="J1364" s="910" t="s">
        <v>3906</v>
      </c>
      <c r="K1364" s="909">
        <v>2</v>
      </c>
      <c r="L1364" s="909">
        <v>4</v>
      </c>
      <c r="M1364" s="907">
        <v>10000</v>
      </c>
      <c r="N1364" s="908">
        <v>2</v>
      </c>
      <c r="O1364" s="908">
        <v>5</v>
      </c>
      <c r="P1364" s="907">
        <v>12500</v>
      </c>
      <c r="R1364" s="890"/>
    </row>
    <row r="1365" spans="1:18" s="276" customFormat="1" ht="36">
      <c r="A1365" s="908" t="s">
        <v>3199</v>
      </c>
      <c r="B1365" s="908" t="s">
        <v>1402</v>
      </c>
      <c r="C1365" s="912" t="s">
        <v>4243</v>
      </c>
      <c r="D1365" s="910" t="s">
        <v>3811</v>
      </c>
      <c r="E1365" s="907">
        <v>2500</v>
      </c>
      <c r="F1365" s="908">
        <v>48051292</v>
      </c>
      <c r="G1365" s="910" t="s">
        <v>4102</v>
      </c>
      <c r="H1365" s="911" t="s">
        <v>1565</v>
      </c>
      <c r="I1365" s="911" t="s">
        <v>1411</v>
      </c>
      <c r="J1365" s="910" t="s">
        <v>4103</v>
      </c>
      <c r="K1365" s="909">
        <v>1</v>
      </c>
      <c r="L1365" s="909">
        <v>2</v>
      </c>
      <c r="M1365" s="907">
        <v>5000</v>
      </c>
      <c r="N1365" s="908">
        <v>3</v>
      </c>
      <c r="O1365" s="908">
        <v>5</v>
      </c>
      <c r="P1365" s="907">
        <v>12500</v>
      </c>
      <c r="R1365" s="890"/>
    </row>
    <row r="1366" spans="1:18" s="276" customFormat="1" ht="36">
      <c r="A1366" s="908" t="s">
        <v>3199</v>
      </c>
      <c r="B1366" s="908" t="s">
        <v>1402</v>
      </c>
      <c r="C1366" s="912" t="s">
        <v>4243</v>
      </c>
      <c r="D1366" s="910" t="s">
        <v>3408</v>
      </c>
      <c r="E1366" s="907">
        <v>6000</v>
      </c>
      <c r="F1366" s="908">
        <v>45802452</v>
      </c>
      <c r="G1366" s="910" t="s">
        <v>4104</v>
      </c>
      <c r="H1366" s="911" t="s">
        <v>3323</v>
      </c>
      <c r="I1366" s="911" t="s">
        <v>1411</v>
      </c>
      <c r="J1366" s="910" t="s">
        <v>3815</v>
      </c>
      <c r="K1366" s="909">
        <v>3</v>
      </c>
      <c r="L1366" s="909">
        <v>8</v>
      </c>
      <c r="M1366" s="907">
        <v>10000</v>
      </c>
      <c r="N1366" s="908">
        <v>1</v>
      </c>
      <c r="O1366" s="908">
        <v>4</v>
      </c>
      <c r="P1366" s="907">
        <v>22000</v>
      </c>
      <c r="R1366" s="890"/>
    </row>
    <row r="1367" spans="1:18" s="276" customFormat="1" ht="36">
      <c r="A1367" s="908" t="s">
        <v>3199</v>
      </c>
      <c r="B1367" s="908" t="s">
        <v>1402</v>
      </c>
      <c r="C1367" s="912" t="s">
        <v>4243</v>
      </c>
      <c r="D1367" s="910" t="s">
        <v>3904</v>
      </c>
      <c r="E1367" s="907">
        <v>3500</v>
      </c>
      <c r="F1367" s="908">
        <v>47306126</v>
      </c>
      <c r="G1367" s="910" t="s">
        <v>4105</v>
      </c>
      <c r="H1367" s="911" t="s">
        <v>4106</v>
      </c>
      <c r="I1367" s="911" t="s">
        <v>1411</v>
      </c>
      <c r="J1367" s="910" t="s">
        <v>4106</v>
      </c>
      <c r="K1367" s="909">
        <v>2</v>
      </c>
      <c r="L1367" s="909">
        <v>11</v>
      </c>
      <c r="M1367" s="907">
        <v>38500</v>
      </c>
      <c r="N1367" s="908">
        <v>1</v>
      </c>
      <c r="O1367" s="908">
        <v>5</v>
      </c>
      <c r="P1367" s="907">
        <v>17500</v>
      </c>
      <c r="R1367" s="890"/>
    </row>
    <row r="1368" spans="1:18" s="276" customFormat="1" ht="36">
      <c r="A1368" s="908" t="s">
        <v>3199</v>
      </c>
      <c r="B1368" s="908" t="s">
        <v>1402</v>
      </c>
      <c r="C1368" s="912" t="s">
        <v>4243</v>
      </c>
      <c r="D1368" s="910" t="s">
        <v>3520</v>
      </c>
      <c r="E1368" s="907">
        <v>5000</v>
      </c>
      <c r="F1368" s="908">
        <v>10680914</v>
      </c>
      <c r="G1368" s="910" t="s">
        <v>4107</v>
      </c>
      <c r="H1368" s="911" t="s">
        <v>2743</v>
      </c>
      <c r="I1368" s="911" t="s">
        <v>1411</v>
      </c>
      <c r="J1368" s="910" t="s">
        <v>3815</v>
      </c>
      <c r="K1368" s="909">
        <v>1</v>
      </c>
      <c r="L1368" s="909">
        <v>2</v>
      </c>
      <c r="M1368" s="907">
        <v>10000</v>
      </c>
      <c r="N1368" s="908"/>
      <c r="O1368" s="908"/>
      <c r="P1368" s="907"/>
      <c r="R1368" s="890"/>
    </row>
    <row r="1369" spans="1:18" s="276" customFormat="1" ht="36">
      <c r="A1369" s="908" t="s">
        <v>3199</v>
      </c>
      <c r="B1369" s="908" t="s">
        <v>1402</v>
      </c>
      <c r="C1369" s="912" t="s">
        <v>4243</v>
      </c>
      <c r="D1369" s="910" t="s">
        <v>3318</v>
      </c>
      <c r="E1369" s="907">
        <v>5500</v>
      </c>
      <c r="F1369" s="908" t="s">
        <v>4108</v>
      </c>
      <c r="G1369" s="910" t="s">
        <v>4109</v>
      </c>
      <c r="H1369" s="911" t="s">
        <v>3323</v>
      </c>
      <c r="I1369" s="911" t="s">
        <v>1411</v>
      </c>
      <c r="J1369" s="910" t="s">
        <v>3815</v>
      </c>
      <c r="K1369" s="909">
        <v>3</v>
      </c>
      <c r="L1369" s="909">
        <v>9</v>
      </c>
      <c r="M1369" s="907">
        <v>49500</v>
      </c>
      <c r="N1369" s="908">
        <v>1</v>
      </c>
      <c r="O1369" s="908">
        <v>5</v>
      </c>
      <c r="P1369" s="907">
        <v>27500</v>
      </c>
      <c r="R1369" s="890"/>
    </row>
    <row r="1370" spans="1:18" s="276" customFormat="1" ht="36">
      <c r="A1370" s="908" t="s">
        <v>3199</v>
      </c>
      <c r="B1370" s="908" t="s">
        <v>1402</v>
      </c>
      <c r="C1370" s="912" t="s">
        <v>4243</v>
      </c>
      <c r="D1370" s="910" t="s">
        <v>3700</v>
      </c>
      <c r="E1370" s="907">
        <v>2000</v>
      </c>
      <c r="F1370" s="908" t="s">
        <v>4110</v>
      </c>
      <c r="G1370" s="910" t="s">
        <v>4111</v>
      </c>
      <c r="H1370" s="911" t="s">
        <v>1407</v>
      </c>
      <c r="I1370" s="911" t="s">
        <v>1411</v>
      </c>
      <c r="J1370" s="910" t="s">
        <v>4112</v>
      </c>
      <c r="K1370" s="909">
        <v>1</v>
      </c>
      <c r="L1370" s="909">
        <v>3</v>
      </c>
      <c r="M1370" s="907">
        <v>6000</v>
      </c>
      <c r="N1370" s="908"/>
      <c r="O1370" s="908"/>
      <c r="P1370" s="907"/>
      <c r="R1370" s="890"/>
    </row>
    <row r="1371" spans="1:18" s="276" customFormat="1" ht="36">
      <c r="A1371" s="908" t="s">
        <v>3199</v>
      </c>
      <c r="B1371" s="908" t="s">
        <v>1402</v>
      </c>
      <c r="C1371" s="912" t="s">
        <v>4243</v>
      </c>
      <c r="D1371" s="910" t="s">
        <v>3826</v>
      </c>
      <c r="E1371" s="907">
        <v>2500</v>
      </c>
      <c r="F1371" s="908">
        <v>75213711</v>
      </c>
      <c r="G1371" s="910" t="s">
        <v>4113</v>
      </c>
      <c r="H1371" s="911" t="s">
        <v>3971</v>
      </c>
      <c r="I1371" s="911" t="s">
        <v>1411</v>
      </c>
      <c r="J1371" s="910" t="s">
        <v>3830</v>
      </c>
      <c r="K1371" s="909">
        <v>3</v>
      </c>
      <c r="L1371" s="909">
        <v>8</v>
      </c>
      <c r="M1371" s="907">
        <v>20000</v>
      </c>
      <c r="N1371" s="908"/>
      <c r="O1371" s="908"/>
      <c r="P1371" s="907"/>
      <c r="R1371" s="890"/>
    </row>
    <row r="1372" spans="1:18" s="276" customFormat="1" ht="36">
      <c r="A1372" s="908" t="s">
        <v>3199</v>
      </c>
      <c r="B1372" s="908" t="s">
        <v>1402</v>
      </c>
      <c r="C1372" s="912" t="s">
        <v>4243</v>
      </c>
      <c r="D1372" s="910" t="s">
        <v>3604</v>
      </c>
      <c r="E1372" s="907">
        <v>8500</v>
      </c>
      <c r="F1372" s="908" t="s">
        <v>4114</v>
      </c>
      <c r="G1372" s="910" t="s">
        <v>4115</v>
      </c>
      <c r="H1372" s="911" t="s">
        <v>1432</v>
      </c>
      <c r="I1372" s="911" t="s">
        <v>1411</v>
      </c>
      <c r="J1372" s="910" t="s">
        <v>4116</v>
      </c>
      <c r="K1372" s="909"/>
      <c r="L1372" s="909"/>
      <c r="M1372" s="907"/>
      <c r="N1372" s="908">
        <v>2</v>
      </c>
      <c r="O1372" s="908">
        <v>7</v>
      </c>
      <c r="P1372" s="907">
        <v>58000</v>
      </c>
      <c r="R1372" s="890"/>
    </row>
    <row r="1373" spans="1:18" s="276" customFormat="1" ht="36">
      <c r="A1373" s="908" t="s">
        <v>3199</v>
      </c>
      <c r="B1373" s="908" t="s">
        <v>1402</v>
      </c>
      <c r="C1373" s="912" t="s">
        <v>4243</v>
      </c>
      <c r="D1373" s="910" t="s">
        <v>3700</v>
      </c>
      <c r="E1373" s="907">
        <v>2700</v>
      </c>
      <c r="F1373" s="908">
        <v>71271415</v>
      </c>
      <c r="G1373" s="910" t="s">
        <v>4117</v>
      </c>
      <c r="H1373" s="911" t="s">
        <v>1407</v>
      </c>
      <c r="I1373" s="911" t="s">
        <v>1411</v>
      </c>
      <c r="J1373" s="910" t="s">
        <v>4118</v>
      </c>
      <c r="K1373" s="909">
        <v>2</v>
      </c>
      <c r="L1373" s="909">
        <v>11</v>
      </c>
      <c r="M1373" s="907">
        <v>29700</v>
      </c>
      <c r="N1373" s="908">
        <v>1</v>
      </c>
      <c r="O1373" s="908">
        <v>5</v>
      </c>
      <c r="P1373" s="907">
        <v>13500</v>
      </c>
      <c r="R1373" s="890"/>
    </row>
    <row r="1374" spans="1:18" s="276" customFormat="1" ht="36">
      <c r="A1374" s="908" t="s">
        <v>3199</v>
      </c>
      <c r="B1374" s="908" t="s">
        <v>1402</v>
      </c>
      <c r="C1374" s="912" t="s">
        <v>4243</v>
      </c>
      <c r="D1374" s="910" t="s">
        <v>3826</v>
      </c>
      <c r="E1374" s="907">
        <v>1500</v>
      </c>
      <c r="F1374" s="908">
        <v>70309369</v>
      </c>
      <c r="G1374" s="910" t="s">
        <v>4119</v>
      </c>
      <c r="H1374" s="911" t="s">
        <v>1451</v>
      </c>
      <c r="I1374" s="911" t="s">
        <v>1451</v>
      </c>
      <c r="J1374" s="910" t="s">
        <v>3828</v>
      </c>
      <c r="K1374" s="909">
        <v>1</v>
      </c>
      <c r="L1374" s="909">
        <v>1</v>
      </c>
      <c r="M1374" s="907">
        <v>1500</v>
      </c>
      <c r="N1374" s="908">
        <v>1</v>
      </c>
      <c r="O1374" s="908">
        <v>5</v>
      </c>
      <c r="P1374" s="907">
        <v>7500</v>
      </c>
      <c r="R1374" s="890"/>
    </row>
    <row r="1375" spans="1:18" s="276" customFormat="1" ht="36">
      <c r="A1375" s="908" t="s">
        <v>3199</v>
      </c>
      <c r="B1375" s="908" t="s">
        <v>1402</v>
      </c>
      <c r="C1375" s="912" t="s">
        <v>4243</v>
      </c>
      <c r="D1375" s="910" t="s">
        <v>3520</v>
      </c>
      <c r="E1375" s="907">
        <v>5000</v>
      </c>
      <c r="F1375" s="908" t="s">
        <v>4120</v>
      </c>
      <c r="G1375" s="910" t="s">
        <v>4121</v>
      </c>
      <c r="H1375" s="911" t="s">
        <v>3971</v>
      </c>
      <c r="I1375" s="911" t="s">
        <v>1411</v>
      </c>
      <c r="J1375" s="910" t="s">
        <v>3815</v>
      </c>
      <c r="K1375" s="909">
        <v>1</v>
      </c>
      <c r="L1375" s="909">
        <v>2</v>
      </c>
      <c r="M1375" s="907">
        <v>10000</v>
      </c>
      <c r="N1375" s="908">
        <v>1</v>
      </c>
      <c r="O1375" s="908">
        <v>2</v>
      </c>
      <c r="P1375" s="907">
        <v>10000</v>
      </c>
      <c r="R1375" s="890"/>
    </row>
    <row r="1376" spans="1:18" s="276" customFormat="1" ht="36">
      <c r="A1376" s="908" t="s">
        <v>3199</v>
      </c>
      <c r="B1376" s="908" t="s">
        <v>1402</v>
      </c>
      <c r="C1376" s="912" t="s">
        <v>4243</v>
      </c>
      <c r="D1376" s="910" t="s">
        <v>3826</v>
      </c>
      <c r="E1376" s="907">
        <v>3500</v>
      </c>
      <c r="F1376" s="908">
        <v>71025254</v>
      </c>
      <c r="G1376" s="910" t="s">
        <v>4122</v>
      </c>
      <c r="H1376" s="911" t="s">
        <v>4123</v>
      </c>
      <c r="I1376" s="911" t="s">
        <v>1411</v>
      </c>
      <c r="J1376" s="910" t="s">
        <v>3830</v>
      </c>
      <c r="K1376" s="909">
        <v>5</v>
      </c>
      <c r="L1376" s="909">
        <v>10</v>
      </c>
      <c r="M1376" s="907">
        <v>35000</v>
      </c>
      <c r="N1376" s="908">
        <v>1</v>
      </c>
      <c r="O1376" s="908">
        <v>5</v>
      </c>
      <c r="P1376" s="907">
        <v>17500</v>
      </c>
      <c r="R1376" s="890"/>
    </row>
    <row r="1377" spans="1:18" s="276" customFormat="1" ht="36">
      <c r="A1377" s="908" t="s">
        <v>3199</v>
      </c>
      <c r="B1377" s="908" t="s">
        <v>1402</v>
      </c>
      <c r="C1377" s="912" t="s">
        <v>4243</v>
      </c>
      <c r="D1377" s="910" t="s">
        <v>3520</v>
      </c>
      <c r="E1377" s="907">
        <v>7000</v>
      </c>
      <c r="F1377" s="908" t="s">
        <v>4124</v>
      </c>
      <c r="G1377" s="910" t="s">
        <v>4125</v>
      </c>
      <c r="H1377" s="911" t="s">
        <v>3971</v>
      </c>
      <c r="I1377" s="911" t="s">
        <v>1411</v>
      </c>
      <c r="J1377" s="910" t="s">
        <v>3815</v>
      </c>
      <c r="K1377" s="909">
        <v>1</v>
      </c>
      <c r="L1377" s="909">
        <v>2</v>
      </c>
      <c r="M1377" s="907">
        <v>14000</v>
      </c>
      <c r="N1377" s="908"/>
      <c r="O1377" s="908"/>
      <c r="P1377" s="907"/>
      <c r="R1377" s="890"/>
    </row>
    <row r="1378" spans="1:18" s="276" customFormat="1" ht="36">
      <c r="A1378" s="908" t="s">
        <v>3199</v>
      </c>
      <c r="B1378" s="908" t="s">
        <v>1402</v>
      </c>
      <c r="C1378" s="912" t="s">
        <v>4243</v>
      </c>
      <c r="D1378" s="910" t="s">
        <v>3408</v>
      </c>
      <c r="E1378" s="907">
        <v>3300</v>
      </c>
      <c r="F1378" s="908" t="s">
        <v>4126</v>
      </c>
      <c r="G1378" s="910" t="s">
        <v>4127</v>
      </c>
      <c r="H1378" s="911" t="s">
        <v>4123</v>
      </c>
      <c r="I1378" s="911" t="s">
        <v>1411</v>
      </c>
      <c r="J1378" s="910" t="s">
        <v>3815</v>
      </c>
      <c r="K1378" s="909">
        <v>3</v>
      </c>
      <c r="L1378" s="909">
        <v>8</v>
      </c>
      <c r="M1378" s="907">
        <v>26400</v>
      </c>
      <c r="N1378" s="908">
        <v>1</v>
      </c>
      <c r="O1378" s="908">
        <v>4</v>
      </c>
      <c r="P1378" s="907">
        <v>15200</v>
      </c>
      <c r="R1378" s="890"/>
    </row>
    <row r="1379" spans="1:18" s="276" customFormat="1" ht="36">
      <c r="A1379" s="908" t="s">
        <v>3199</v>
      </c>
      <c r="B1379" s="908" t="s">
        <v>1402</v>
      </c>
      <c r="C1379" s="912" t="s">
        <v>4243</v>
      </c>
      <c r="D1379" s="910" t="s">
        <v>3811</v>
      </c>
      <c r="E1379" s="907">
        <v>3500</v>
      </c>
      <c r="F1379" s="908">
        <v>70445626</v>
      </c>
      <c r="G1379" s="910" t="s">
        <v>4128</v>
      </c>
      <c r="H1379" s="911" t="s">
        <v>1565</v>
      </c>
      <c r="I1379" s="911" t="s">
        <v>1411</v>
      </c>
      <c r="J1379" s="910" t="s">
        <v>3096</v>
      </c>
      <c r="K1379" s="909">
        <v>1</v>
      </c>
      <c r="L1379" s="909">
        <v>6</v>
      </c>
      <c r="M1379" s="907">
        <v>21000</v>
      </c>
      <c r="N1379" s="908"/>
      <c r="O1379" s="908"/>
      <c r="P1379" s="907"/>
      <c r="R1379" s="890"/>
    </row>
    <row r="1380" spans="1:18" s="276" customFormat="1" ht="36">
      <c r="A1380" s="908" t="s">
        <v>3199</v>
      </c>
      <c r="B1380" s="908" t="s">
        <v>1402</v>
      </c>
      <c r="C1380" s="912" t="s">
        <v>4243</v>
      </c>
      <c r="D1380" s="910" t="s">
        <v>3318</v>
      </c>
      <c r="E1380" s="907">
        <v>4000</v>
      </c>
      <c r="F1380" s="908">
        <v>44976194</v>
      </c>
      <c r="G1380" s="910" t="s">
        <v>4129</v>
      </c>
      <c r="H1380" s="911" t="s">
        <v>2743</v>
      </c>
      <c r="I1380" s="911" t="s">
        <v>1411</v>
      </c>
      <c r="J1380" s="910" t="s">
        <v>2914</v>
      </c>
      <c r="K1380" s="909">
        <v>2</v>
      </c>
      <c r="L1380" s="909">
        <v>3</v>
      </c>
      <c r="M1380" s="907">
        <v>12000</v>
      </c>
      <c r="N1380" s="908">
        <v>1</v>
      </c>
      <c r="O1380" s="908">
        <v>3</v>
      </c>
      <c r="P1380" s="907">
        <v>12000</v>
      </c>
      <c r="R1380" s="890"/>
    </row>
    <row r="1381" spans="1:18" s="276" customFormat="1" ht="36">
      <c r="A1381" s="908" t="s">
        <v>3199</v>
      </c>
      <c r="B1381" s="908" t="s">
        <v>1402</v>
      </c>
      <c r="C1381" s="912" t="s">
        <v>4243</v>
      </c>
      <c r="D1381" s="910" t="s">
        <v>3318</v>
      </c>
      <c r="E1381" s="907">
        <v>5500</v>
      </c>
      <c r="F1381" s="908">
        <v>45472890</v>
      </c>
      <c r="G1381" s="910" t="s">
        <v>4130</v>
      </c>
      <c r="H1381" s="911" t="s">
        <v>3903</v>
      </c>
      <c r="I1381" s="911" t="s">
        <v>1411</v>
      </c>
      <c r="J1381" s="910" t="s">
        <v>3815</v>
      </c>
      <c r="K1381" s="909">
        <v>3</v>
      </c>
      <c r="L1381" s="909">
        <v>9</v>
      </c>
      <c r="M1381" s="907">
        <v>49500</v>
      </c>
      <c r="N1381" s="908"/>
      <c r="O1381" s="908"/>
      <c r="P1381" s="907"/>
      <c r="R1381" s="890"/>
    </row>
    <row r="1382" spans="1:18" s="276" customFormat="1" ht="36">
      <c r="A1382" s="908" t="s">
        <v>3199</v>
      </c>
      <c r="B1382" s="908" t="s">
        <v>1402</v>
      </c>
      <c r="C1382" s="912" t="s">
        <v>4243</v>
      </c>
      <c r="D1382" s="910" t="s">
        <v>3408</v>
      </c>
      <c r="E1382" s="907">
        <v>7000</v>
      </c>
      <c r="F1382" s="908" t="s">
        <v>4131</v>
      </c>
      <c r="G1382" s="910" t="s">
        <v>4132</v>
      </c>
      <c r="H1382" s="911" t="s">
        <v>2743</v>
      </c>
      <c r="I1382" s="911" t="s">
        <v>1411</v>
      </c>
      <c r="J1382" s="910" t="s">
        <v>3815</v>
      </c>
      <c r="K1382" s="909">
        <v>1</v>
      </c>
      <c r="L1382" s="909">
        <v>3</v>
      </c>
      <c r="M1382" s="907">
        <v>21000</v>
      </c>
      <c r="N1382" s="908"/>
      <c r="O1382" s="908"/>
      <c r="P1382" s="907"/>
      <c r="R1382" s="890"/>
    </row>
    <row r="1383" spans="1:18" s="276" customFormat="1" ht="36">
      <c r="A1383" s="908" t="s">
        <v>3199</v>
      </c>
      <c r="B1383" s="908" t="s">
        <v>1402</v>
      </c>
      <c r="C1383" s="912" t="s">
        <v>4243</v>
      </c>
      <c r="D1383" s="910" t="s">
        <v>3729</v>
      </c>
      <c r="E1383" s="907">
        <v>2000</v>
      </c>
      <c r="F1383" s="908">
        <v>44957926</v>
      </c>
      <c r="G1383" s="910" t="s">
        <v>4133</v>
      </c>
      <c r="H1383" s="911" t="s">
        <v>4134</v>
      </c>
      <c r="I1383" s="911" t="s">
        <v>1411</v>
      </c>
      <c r="J1383" s="910" t="s">
        <v>4135</v>
      </c>
      <c r="K1383" s="909">
        <v>1</v>
      </c>
      <c r="L1383" s="909">
        <v>5</v>
      </c>
      <c r="M1383" s="907">
        <v>10000</v>
      </c>
      <c r="N1383" s="908"/>
      <c r="O1383" s="908"/>
      <c r="P1383" s="907"/>
      <c r="R1383" s="890"/>
    </row>
    <row r="1384" spans="1:18" s="276" customFormat="1" ht="36">
      <c r="A1384" s="908" t="s">
        <v>3199</v>
      </c>
      <c r="B1384" s="908" t="s">
        <v>1402</v>
      </c>
      <c r="C1384" s="912" t="s">
        <v>4243</v>
      </c>
      <c r="D1384" s="910" t="s">
        <v>3904</v>
      </c>
      <c r="E1384" s="907">
        <v>2500</v>
      </c>
      <c r="F1384" s="908">
        <v>47579032</v>
      </c>
      <c r="G1384" s="910" t="s">
        <v>4136</v>
      </c>
      <c r="H1384" s="911" t="s">
        <v>1407</v>
      </c>
      <c r="I1384" s="911" t="s">
        <v>1411</v>
      </c>
      <c r="J1384" s="910" t="s">
        <v>4137</v>
      </c>
      <c r="K1384" s="909"/>
      <c r="L1384" s="909"/>
      <c r="M1384" s="907"/>
      <c r="N1384" s="908">
        <v>1</v>
      </c>
      <c r="O1384" s="908">
        <v>5</v>
      </c>
      <c r="P1384" s="907">
        <v>12500</v>
      </c>
      <c r="R1384" s="890"/>
    </row>
    <row r="1385" spans="1:18" s="276" customFormat="1" ht="36">
      <c r="A1385" s="908" t="s">
        <v>3199</v>
      </c>
      <c r="B1385" s="908" t="s">
        <v>1402</v>
      </c>
      <c r="C1385" s="912" t="s">
        <v>4243</v>
      </c>
      <c r="D1385" s="910" t="s">
        <v>3700</v>
      </c>
      <c r="E1385" s="907">
        <v>2000</v>
      </c>
      <c r="F1385" s="908">
        <v>71779280</v>
      </c>
      <c r="G1385" s="910" t="s">
        <v>4138</v>
      </c>
      <c r="H1385" s="911" t="s">
        <v>1414</v>
      </c>
      <c r="I1385" s="911" t="s">
        <v>1411</v>
      </c>
      <c r="J1385" s="910" t="s">
        <v>4139</v>
      </c>
      <c r="K1385" s="909">
        <v>2</v>
      </c>
      <c r="L1385" s="909">
        <v>11</v>
      </c>
      <c r="M1385" s="907">
        <v>22000</v>
      </c>
      <c r="N1385" s="908">
        <v>1</v>
      </c>
      <c r="O1385" s="908">
        <v>5</v>
      </c>
      <c r="P1385" s="907">
        <v>10000</v>
      </c>
      <c r="R1385" s="890"/>
    </row>
    <row r="1386" spans="1:18" s="276" customFormat="1" ht="36">
      <c r="A1386" s="908" t="s">
        <v>3199</v>
      </c>
      <c r="B1386" s="908" t="s">
        <v>1402</v>
      </c>
      <c r="C1386" s="912" t="s">
        <v>4243</v>
      </c>
      <c r="D1386" s="910" t="s">
        <v>3408</v>
      </c>
      <c r="E1386" s="907">
        <v>8000</v>
      </c>
      <c r="F1386" s="908">
        <v>24994255</v>
      </c>
      <c r="G1386" s="910" t="s">
        <v>4140</v>
      </c>
      <c r="H1386" s="911" t="s">
        <v>2743</v>
      </c>
      <c r="I1386" s="911" t="s">
        <v>1411</v>
      </c>
      <c r="J1386" s="910" t="s">
        <v>3815</v>
      </c>
      <c r="K1386" s="909">
        <v>2</v>
      </c>
      <c r="L1386" s="909">
        <v>5</v>
      </c>
      <c r="M1386" s="907">
        <v>40000</v>
      </c>
      <c r="N1386" s="908">
        <v>1</v>
      </c>
      <c r="O1386" s="908">
        <v>4</v>
      </c>
      <c r="P1386" s="907">
        <v>32000</v>
      </c>
      <c r="R1386" s="890"/>
    </row>
    <row r="1387" spans="1:18" s="276" customFormat="1" ht="36">
      <c r="A1387" s="908" t="s">
        <v>3199</v>
      </c>
      <c r="B1387" s="908" t="s">
        <v>1402</v>
      </c>
      <c r="C1387" s="912" t="s">
        <v>4243</v>
      </c>
      <c r="D1387" s="910" t="s">
        <v>3408</v>
      </c>
      <c r="E1387" s="907">
        <v>3000</v>
      </c>
      <c r="F1387" s="908" t="s">
        <v>4141</v>
      </c>
      <c r="G1387" s="910" t="s">
        <v>4142</v>
      </c>
      <c r="H1387" s="911" t="s">
        <v>2743</v>
      </c>
      <c r="I1387" s="911" t="s">
        <v>1411</v>
      </c>
      <c r="J1387" s="910" t="s">
        <v>3830</v>
      </c>
      <c r="K1387" s="909">
        <v>1</v>
      </c>
      <c r="L1387" s="909">
        <v>2</v>
      </c>
      <c r="M1387" s="907">
        <v>6000</v>
      </c>
      <c r="N1387" s="908">
        <v>1</v>
      </c>
      <c r="O1387" s="908">
        <v>4</v>
      </c>
      <c r="P1387" s="907">
        <v>14000</v>
      </c>
      <c r="R1387" s="890"/>
    </row>
    <row r="1388" spans="1:18" s="276" customFormat="1" ht="36">
      <c r="A1388" s="908" t="s">
        <v>3199</v>
      </c>
      <c r="B1388" s="908" t="s">
        <v>1402</v>
      </c>
      <c r="C1388" s="912" t="s">
        <v>4243</v>
      </c>
      <c r="D1388" s="910" t="s">
        <v>3318</v>
      </c>
      <c r="E1388" s="907">
        <v>6000</v>
      </c>
      <c r="F1388" s="908" t="s">
        <v>4143</v>
      </c>
      <c r="G1388" s="910" t="s">
        <v>4144</v>
      </c>
      <c r="H1388" s="911" t="s">
        <v>3910</v>
      </c>
      <c r="I1388" s="911" t="s">
        <v>1411</v>
      </c>
      <c r="J1388" s="910" t="s">
        <v>3815</v>
      </c>
      <c r="K1388" s="909">
        <v>2</v>
      </c>
      <c r="L1388" s="909">
        <v>9</v>
      </c>
      <c r="M1388" s="907">
        <v>54000</v>
      </c>
      <c r="N1388" s="908">
        <v>1</v>
      </c>
      <c r="O1388" s="908">
        <v>5</v>
      </c>
      <c r="P1388" s="907">
        <v>30000</v>
      </c>
      <c r="R1388" s="890"/>
    </row>
    <row r="1389" spans="1:18" s="276" customFormat="1" ht="36">
      <c r="A1389" s="908" t="s">
        <v>3199</v>
      </c>
      <c r="B1389" s="908" t="s">
        <v>1402</v>
      </c>
      <c r="C1389" s="912" t="s">
        <v>4243</v>
      </c>
      <c r="D1389" s="910" t="s">
        <v>3700</v>
      </c>
      <c r="E1389" s="907">
        <v>2500</v>
      </c>
      <c r="F1389" s="908">
        <v>42423726</v>
      </c>
      <c r="G1389" s="910" t="s">
        <v>4145</v>
      </c>
      <c r="H1389" s="911" t="s">
        <v>3906</v>
      </c>
      <c r="I1389" s="911" t="s">
        <v>1411</v>
      </c>
      <c r="J1389" s="910" t="s">
        <v>4112</v>
      </c>
      <c r="K1389" s="909">
        <v>2</v>
      </c>
      <c r="L1389" s="909">
        <v>10</v>
      </c>
      <c r="M1389" s="907">
        <v>25000</v>
      </c>
      <c r="N1389" s="908">
        <v>2</v>
      </c>
      <c r="O1389" s="908">
        <v>3</v>
      </c>
      <c r="P1389" s="907">
        <v>7500</v>
      </c>
      <c r="R1389" s="890"/>
    </row>
    <row r="1390" spans="1:18" s="276" customFormat="1" ht="36">
      <c r="A1390" s="908" t="s">
        <v>3199</v>
      </c>
      <c r="B1390" s="908" t="s">
        <v>1402</v>
      </c>
      <c r="C1390" s="912" t="s">
        <v>4243</v>
      </c>
      <c r="D1390" s="910" t="s">
        <v>3318</v>
      </c>
      <c r="E1390" s="907">
        <v>3500</v>
      </c>
      <c r="F1390" s="908">
        <v>73312299</v>
      </c>
      <c r="G1390" s="910" t="s">
        <v>3393</v>
      </c>
      <c r="H1390" s="911" t="s">
        <v>3323</v>
      </c>
      <c r="I1390" s="911" t="s">
        <v>1411</v>
      </c>
      <c r="J1390" s="910" t="s">
        <v>3830</v>
      </c>
      <c r="K1390" s="909">
        <v>2</v>
      </c>
      <c r="L1390" s="909">
        <v>9</v>
      </c>
      <c r="M1390" s="907">
        <v>31500</v>
      </c>
      <c r="N1390" s="908"/>
      <c r="O1390" s="908"/>
      <c r="P1390" s="907"/>
      <c r="R1390" s="890"/>
    </row>
    <row r="1391" spans="1:18" s="276" customFormat="1" ht="36">
      <c r="A1391" s="908" t="s">
        <v>3199</v>
      </c>
      <c r="B1391" s="908" t="s">
        <v>1402</v>
      </c>
      <c r="C1391" s="912" t="s">
        <v>4243</v>
      </c>
      <c r="D1391" s="910" t="s">
        <v>3700</v>
      </c>
      <c r="E1391" s="907">
        <v>2300</v>
      </c>
      <c r="F1391" s="908">
        <v>80065927</v>
      </c>
      <c r="G1391" s="910" t="s">
        <v>4146</v>
      </c>
      <c r="H1391" s="911" t="s">
        <v>3828</v>
      </c>
      <c r="I1391" s="911" t="s">
        <v>3828</v>
      </c>
      <c r="J1391" s="910" t="s">
        <v>4147</v>
      </c>
      <c r="K1391" s="909">
        <v>2</v>
      </c>
      <c r="L1391" s="909">
        <v>11</v>
      </c>
      <c r="M1391" s="907">
        <v>25300</v>
      </c>
      <c r="N1391" s="908">
        <v>1</v>
      </c>
      <c r="O1391" s="908">
        <v>5</v>
      </c>
      <c r="P1391" s="907">
        <v>10000</v>
      </c>
      <c r="R1391" s="890"/>
    </row>
    <row r="1392" spans="1:18" s="276" customFormat="1" ht="36">
      <c r="A1392" s="908" t="s">
        <v>3199</v>
      </c>
      <c r="B1392" s="908" t="s">
        <v>1402</v>
      </c>
      <c r="C1392" s="912" t="s">
        <v>4243</v>
      </c>
      <c r="D1392" s="910" t="s">
        <v>3700</v>
      </c>
      <c r="E1392" s="907">
        <v>2000</v>
      </c>
      <c r="F1392" s="908" t="s">
        <v>4148</v>
      </c>
      <c r="G1392" s="910" t="s">
        <v>4149</v>
      </c>
      <c r="H1392" s="911" t="s">
        <v>4150</v>
      </c>
      <c r="I1392" s="911" t="s">
        <v>1411</v>
      </c>
      <c r="J1392" s="910" t="s">
        <v>4151</v>
      </c>
      <c r="K1392" s="909"/>
      <c r="L1392" s="909"/>
      <c r="M1392" s="907"/>
      <c r="N1392" s="908">
        <v>1</v>
      </c>
      <c r="O1392" s="908">
        <v>3</v>
      </c>
      <c r="P1392" s="907">
        <v>6000</v>
      </c>
      <c r="R1392" s="890"/>
    </row>
    <row r="1393" spans="1:18" s="276" customFormat="1" ht="36">
      <c r="A1393" s="908" t="s">
        <v>3199</v>
      </c>
      <c r="B1393" s="908" t="s">
        <v>1402</v>
      </c>
      <c r="C1393" s="912" t="s">
        <v>4243</v>
      </c>
      <c r="D1393" s="910" t="s">
        <v>3318</v>
      </c>
      <c r="E1393" s="907">
        <v>2500</v>
      </c>
      <c r="F1393" s="908">
        <v>71834638</v>
      </c>
      <c r="G1393" s="910" t="s">
        <v>4152</v>
      </c>
      <c r="H1393" s="911" t="s">
        <v>1420</v>
      </c>
      <c r="I1393" s="911" t="s">
        <v>1411</v>
      </c>
      <c r="J1393" s="910" t="s">
        <v>3096</v>
      </c>
      <c r="K1393" s="909">
        <v>2</v>
      </c>
      <c r="L1393" s="909">
        <v>3</v>
      </c>
      <c r="M1393" s="907">
        <v>7500</v>
      </c>
      <c r="N1393" s="908">
        <v>1</v>
      </c>
      <c r="O1393" s="908">
        <v>3</v>
      </c>
      <c r="P1393" s="907">
        <v>9000</v>
      </c>
      <c r="R1393" s="890"/>
    </row>
    <row r="1394" spans="1:18" s="276" customFormat="1" ht="36">
      <c r="A1394" s="908" t="s">
        <v>3199</v>
      </c>
      <c r="B1394" s="908" t="s">
        <v>1402</v>
      </c>
      <c r="C1394" s="912" t="s">
        <v>4243</v>
      </c>
      <c r="D1394" s="910" t="s">
        <v>3820</v>
      </c>
      <c r="E1394" s="907">
        <v>6000</v>
      </c>
      <c r="F1394" s="908">
        <v>40152783</v>
      </c>
      <c r="G1394" s="910" t="s">
        <v>4153</v>
      </c>
      <c r="H1394" s="911" t="s">
        <v>2759</v>
      </c>
      <c r="I1394" s="911" t="s">
        <v>1411</v>
      </c>
      <c r="J1394" s="910" t="s">
        <v>4103</v>
      </c>
      <c r="K1394" s="909">
        <v>2</v>
      </c>
      <c r="L1394" s="909">
        <v>5</v>
      </c>
      <c r="M1394" s="907">
        <v>30000</v>
      </c>
      <c r="N1394" s="908">
        <v>1</v>
      </c>
      <c r="O1394" s="908">
        <v>5</v>
      </c>
      <c r="P1394" s="907">
        <v>25000</v>
      </c>
      <c r="R1394" s="890"/>
    </row>
    <row r="1395" spans="1:18" s="276" customFormat="1" ht="36">
      <c r="A1395" s="908" t="s">
        <v>3199</v>
      </c>
      <c r="B1395" s="908" t="s">
        <v>1402</v>
      </c>
      <c r="C1395" s="912" t="s">
        <v>4243</v>
      </c>
      <c r="D1395" s="910" t="s">
        <v>3604</v>
      </c>
      <c r="E1395" s="907">
        <v>2000</v>
      </c>
      <c r="F1395" s="908">
        <v>46061721</v>
      </c>
      <c r="G1395" s="910" t="s">
        <v>4154</v>
      </c>
      <c r="H1395" s="911" t="s">
        <v>3048</v>
      </c>
      <c r="I1395" s="911" t="s">
        <v>1411</v>
      </c>
      <c r="J1395" s="910" t="s">
        <v>2736</v>
      </c>
      <c r="K1395" s="909">
        <v>2</v>
      </c>
      <c r="L1395" s="909">
        <v>11</v>
      </c>
      <c r="M1395" s="907">
        <v>22000</v>
      </c>
      <c r="N1395" s="908">
        <v>1</v>
      </c>
      <c r="O1395" s="908">
        <v>5</v>
      </c>
      <c r="P1395" s="907">
        <v>10000</v>
      </c>
      <c r="R1395" s="890"/>
    </row>
    <row r="1396" spans="1:18" s="276" customFormat="1" ht="36">
      <c r="A1396" s="908" t="s">
        <v>3199</v>
      </c>
      <c r="B1396" s="908" t="s">
        <v>1402</v>
      </c>
      <c r="C1396" s="912" t="s">
        <v>4243</v>
      </c>
      <c r="D1396" s="910" t="s">
        <v>3891</v>
      </c>
      <c r="E1396" s="907">
        <v>8000</v>
      </c>
      <c r="F1396" s="908">
        <v>8253331</v>
      </c>
      <c r="G1396" s="910" t="s">
        <v>4155</v>
      </c>
      <c r="H1396" s="911" t="s">
        <v>2761</v>
      </c>
      <c r="I1396" s="911" t="s">
        <v>1411</v>
      </c>
      <c r="J1396" s="910" t="s">
        <v>2761</v>
      </c>
      <c r="K1396" s="909">
        <v>2</v>
      </c>
      <c r="L1396" s="909">
        <v>5</v>
      </c>
      <c r="M1396" s="907">
        <v>40000</v>
      </c>
      <c r="N1396" s="908">
        <v>2</v>
      </c>
      <c r="O1396" s="908">
        <v>5</v>
      </c>
      <c r="P1396" s="907">
        <v>40000</v>
      </c>
      <c r="R1396" s="890"/>
    </row>
    <row r="1397" spans="1:18" s="276" customFormat="1" ht="36">
      <c r="A1397" s="908" t="s">
        <v>3199</v>
      </c>
      <c r="B1397" s="908" t="s">
        <v>1402</v>
      </c>
      <c r="C1397" s="912" t="s">
        <v>4243</v>
      </c>
      <c r="D1397" s="910" t="s">
        <v>3408</v>
      </c>
      <c r="E1397" s="907">
        <v>3300</v>
      </c>
      <c r="F1397" s="908" t="s">
        <v>4156</v>
      </c>
      <c r="G1397" s="910" t="s">
        <v>4157</v>
      </c>
      <c r="H1397" s="911" t="s">
        <v>2743</v>
      </c>
      <c r="I1397" s="911" t="s">
        <v>1411</v>
      </c>
      <c r="J1397" s="910" t="s">
        <v>3815</v>
      </c>
      <c r="K1397" s="909">
        <v>1</v>
      </c>
      <c r="L1397" s="909">
        <v>4</v>
      </c>
      <c r="M1397" s="907">
        <v>13200</v>
      </c>
      <c r="N1397" s="908">
        <v>1</v>
      </c>
      <c r="O1397" s="908">
        <v>4</v>
      </c>
      <c r="P1397" s="907">
        <v>13200</v>
      </c>
      <c r="R1397" s="890"/>
    </row>
    <row r="1398" spans="1:18" s="276" customFormat="1" ht="36">
      <c r="A1398" s="908" t="s">
        <v>3199</v>
      </c>
      <c r="B1398" s="908" t="s">
        <v>1402</v>
      </c>
      <c r="C1398" s="912" t="s">
        <v>4243</v>
      </c>
      <c r="D1398" s="910" t="s">
        <v>3408</v>
      </c>
      <c r="E1398" s="907">
        <v>8000</v>
      </c>
      <c r="F1398" s="908" t="s">
        <v>4158</v>
      </c>
      <c r="G1398" s="910" t="s">
        <v>4159</v>
      </c>
      <c r="H1398" s="911" t="s">
        <v>2743</v>
      </c>
      <c r="I1398" s="911" t="s">
        <v>1411</v>
      </c>
      <c r="J1398" s="910" t="s">
        <v>3815</v>
      </c>
      <c r="K1398" s="909">
        <v>1</v>
      </c>
      <c r="L1398" s="909">
        <v>2</v>
      </c>
      <c r="M1398" s="907">
        <v>16000</v>
      </c>
      <c r="N1398" s="908"/>
      <c r="O1398" s="908"/>
      <c r="P1398" s="907"/>
      <c r="R1398" s="890"/>
    </row>
    <row r="1399" spans="1:18" s="276" customFormat="1" ht="36">
      <c r="A1399" s="908" t="s">
        <v>3199</v>
      </c>
      <c r="B1399" s="908" t="s">
        <v>1402</v>
      </c>
      <c r="C1399" s="912" t="s">
        <v>4243</v>
      </c>
      <c r="D1399" s="910" t="s">
        <v>3729</v>
      </c>
      <c r="E1399" s="907">
        <v>500</v>
      </c>
      <c r="F1399" s="908">
        <v>21247415</v>
      </c>
      <c r="G1399" s="910" t="s">
        <v>4160</v>
      </c>
      <c r="H1399" s="911" t="s">
        <v>3828</v>
      </c>
      <c r="I1399" s="911" t="s">
        <v>3828</v>
      </c>
      <c r="J1399" s="910" t="s">
        <v>3828</v>
      </c>
      <c r="K1399" s="909"/>
      <c r="L1399" s="909"/>
      <c r="M1399" s="907"/>
      <c r="N1399" s="908">
        <v>1</v>
      </c>
      <c r="O1399" s="908">
        <v>5</v>
      </c>
      <c r="P1399" s="907">
        <v>2500</v>
      </c>
      <c r="R1399" s="890"/>
    </row>
    <row r="1400" spans="1:18" s="276" customFormat="1" ht="36">
      <c r="A1400" s="908" t="s">
        <v>3199</v>
      </c>
      <c r="B1400" s="908" t="s">
        <v>1402</v>
      </c>
      <c r="C1400" s="912" t="s">
        <v>4243</v>
      </c>
      <c r="D1400" s="910" t="s">
        <v>3826</v>
      </c>
      <c r="E1400" s="907">
        <v>2500</v>
      </c>
      <c r="F1400" s="908">
        <v>73081245</v>
      </c>
      <c r="G1400" s="910" t="s">
        <v>4161</v>
      </c>
      <c r="H1400" s="911" t="s">
        <v>1420</v>
      </c>
      <c r="I1400" s="911" t="s">
        <v>1411</v>
      </c>
      <c r="J1400" s="910" t="s">
        <v>3830</v>
      </c>
      <c r="K1400" s="909">
        <v>1</v>
      </c>
      <c r="L1400" s="909">
        <v>2</v>
      </c>
      <c r="M1400" s="907">
        <v>5000</v>
      </c>
      <c r="N1400" s="908">
        <v>1</v>
      </c>
      <c r="O1400" s="908">
        <v>5</v>
      </c>
      <c r="P1400" s="907">
        <v>12500</v>
      </c>
      <c r="R1400" s="890"/>
    </row>
    <row r="1401" spans="1:18" s="276" customFormat="1" ht="36">
      <c r="A1401" s="908" t="s">
        <v>3199</v>
      </c>
      <c r="B1401" s="908" t="s">
        <v>1402</v>
      </c>
      <c r="C1401" s="912" t="s">
        <v>4243</v>
      </c>
      <c r="D1401" s="910" t="s">
        <v>3408</v>
      </c>
      <c r="E1401" s="907">
        <v>8000</v>
      </c>
      <c r="F1401" s="908" t="s">
        <v>4162</v>
      </c>
      <c r="G1401" s="910" t="s">
        <v>4163</v>
      </c>
      <c r="H1401" s="911" t="s">
        <v>3323</v>
      </c>
      <c r="I1401" s="911" t="s">
        <v>1411</v>
      </c>
      <c r="J1401" s="910" t="s">
        <v>3815</v>
      </c>
      <c r="K1401" s="909">
        <v>2</v>
      </c>
      <c r="L1401" s="909">
        <v>7</v>
      </c>
      <c r="M1401" s="907">
        <v>56000</v>
      </c>
      <c r="N1401" s="908"/>
      <c r="O1401" s="908"/>
      <c r="P1401" s="907"/>
      <c r="R1401" s="890"/>
    </row>
    <row r="1402" spans="1:18" s="276" customFormat="1" ht="36">
      <c r="A1402" s="908" t="s">
        <v>3199</v>
      </c>
      <c r="B1402" s="908" t="s">
        <v>1402</v>
      </c>
      <c r="C1402" s="912" t="s">
        <v>4243</v>
      </c>
      <c r="D1402" s="910" t="s">
        <v>3408</v>
      </c>
      <c r="E1402" s="907">
        <v>8000</v>
      </c>
      <c r="F1402" s="908">
        <v>25627100</v>
      </c>
      <c r="G1402" s="910" t="s">
        <v>4164</v>
      </c>
      <c r="H1402" s="911" t="s">
        <v>3323</v>
      </c>
      <c r="I1402" s="911" t="s">
        <v>1411</v>
      </c>
      <c r="J1402" s="910" t="s">
        <v>3815</v>
      </c>
      <c r="K1402" s="909">
        <v>3</v>
      </c>
      <c r="L1402" s="909">
        <v>8</v>
      </c>
      <c r="M1402" s="907">
        <v>64000</v>
      </c>
      <c r="N1402" s="908">
        <v>1</v>
      </c>
      <c r="O1402" s="908">
        <v>4</v>
      </c>
      <c r="P1402" s="907">
        <v>32000</v>
      </c>
      <c r="R1402" s="890"/>
    </row>
    <row r="1403" spans="1:18" s="276" customFormat="1" ht="36">
      <c r="A1403" s="908" t="s">
        <v>3199</v>
      </c>
      <c r="B1403" s="908" t="s">
        <v>1402</v>
      </c>
      <c r="C1403" s="912" t="s">
        <v>4243</v>
      </c>
      <c r="D1403" s="910" t="s">
        <v>3223</v>
      </c>
      <c r="E1403" s="907">
        <v>2500</v>
      </c>
      <c r="F1403" s="908">
        <v>42924807</v>
      </c>
      <c r="G1403" s="910" t="s">
        <v>4165</v>
      </c>
      <c r="H1403" s="911" t="s">
        <v>1410</v>
      </c>
      <c r="I1403" s="911" t="s">
        <v>1411</v>
      </c>
      <c r="J1403" s="910" t="s">
        <v>3858</v>
      </c>
      <c r="K1403" s="909">
        <v>2</v>
      </c>
      <c r="L1403" s="909">
        <v>8</v>
      </c>
      <c r="M1403" s="907">
        <v>20000</v>
      </c>
      <c r="N1403" s="908"/>
      <c r="O1403" s="908"/>
      <c r="P1403" s="907"/>
      <c r="R1403" s="890"/>
    </row>
    <row r="1404" spans="1:18" s="276" customFormat="1" ht="36">
      <c r="A1404" s="908" t="s">
        <v>3199</v>
      </c>
      <c r="B1404" s="908" t="s">
        <v>1402</v>
      </c>
      <c r="C1404" s="912" t="s">
        <v>4243</v>
      </c>
      <c r="D1404" s="910" t="s">
        <v>3820</v>
      </c>
      <c r="E1404" s="907">
        <v>2000</v>
      </c>
      <c r="F1404" s="908">
        <v>72967577</v>
      </c>
      <c r="G1404" s="910" t="s">
        <v>4166</v>
      </c>
      <c r="H1404" s="911" t="s">
        <v>3906</v>
      </c>
      <c r="I1404" s="911" t="s">
        <v>1411</v>
      </c>
      <c r="J1404" s="910" t="s">
        <v>4035</v>
      </c>
      <c r="K1404" s="909">
        <v>1</v>
      </c>
      <c r="L1404" s="909">
        <v>6</v>
      </c>
      <c r="M1404" s="907">
        <v>12000</v>
      </c>
      <c r="N1404" s="908">
        <v>1</v>
      </c>
      <c r="O1404" s="908">
        <v>5</v>
      </c>
      <c r="P1404" s="907">
        <v>10000</v>
      </c>
      <c r="R1404" s="890"/>
    </row>
    <row r="1405" spans="1:18" s="276" customFormat="1" ht="36">
      <c r="A1405" s="908" t="s">
        <v>3199</v>
      </c>
      <c r="B1405" s="908" t="s">
        <v>1402</v>
      </c>
      <c r="C1405" s="912" t="s">
        <v>4243</v>
      </c>
      <c r="D1405" s="910" t="s">
        <v>3985</v>
      </c>
      <c r="E1405" s="907">
        <v>4500</v>
      </c>
      <c r="F1405" s="908">
        <v>46149350</v>
      </c>
      <c r="G1405" s="910" t="s">
        <v>4167</v>
      </c>
      <c r="H1405" s="911" t="s">
        <v>1471</v>
      </c>
      <c r="I1405" s="911" t="s">
        <v>1411</v>
      </c>
      <c r="J1405" s="910" t="s">
        <v>3815</v>
      </c>
      <c r="K1405" s="909">
        <v>3</v>
      </c>
      <c r="L1405" s="909">
        <v>10</v>
      </c>
      <c r="M1405" s="907">
        <v>45000</v>
      </c>
      <c r="N1405" s="908">
        <v>1</v>
      </c>
      <c r="O1405" s="908">
        <v>5</v>
      </c>
      <c r="P1405" s="907">
        <v>22500</v>
      </c>
      <c r="R1405" s="890"/>
    </row>
    <row r="1406" spans="1:18" s="276" customFormat="1" ht="36">
      <c r="A1406" s="908" t="s">
        <v>3199</v>
      </c>
      <c r="B1406" s="908" t="s">
        <v>1402</v>
      </c>
      <c r="C1406" s="912" t="s">
        <v>4243</v>
      </c>
      <c r="D1406" s="910" t="s">
        <v>3408</v>
      </c>
      <c r="E1406" s="907">
        <v>3800</v>
      </c>
      <c r="F1406" s="908">
        <v>46557749</v>
      </c>
      <c r="G1406" s="910" t="s">
        <v>4168</v>
      </c>
      <c r="H1406" s="911" t="s">
        <v>3323</v>
      </c>
      <c r="I1406" s="911" t="s">
        <v>1411</v>
      </c>
      <c r="J1406" s="910" t="s">
        <v>3830</v>
      </c>
      <c r="K1406" s="909">
        <v>2</v>
      </c>
      <c r="L1406" s="909">
        <v>8</v>
      </c>
      <c r="M1406" s="907">
        <v>30400</v>
      </c>
      <c r="N1406" s="908">
        <v>1</v>
      </c>
      <c r="O1406" s="908">
        <v>3</v>
      </c>
      <c r="P1406" s="907">
        <v>11400</v>
      </c>
      <c r="R1406" s="890"/>
    </row>
    <row r="1407" spans="1:18" s="276" customFormat="1" ht="36">
      <c r="A1407" s="908" t="s">
        <v>3199</v>
      </c>
      <c r="B1407" s="908" t="s">
        <v>1402</v>
      </c>
      <c r="C1407" s="912" t="s">
        <v>4243</v>
      </c>
      <c r="D1407" s="910" t="s">
        <v>3811</v>
      </c>
      <c r="E1407" s="907">
        <v>2000</v>
      </c>
      <c r="F1407" s="908" t="s">
        <v>4169</v>
      </c>
      <c r="G1407" s="910" t="s">
        <v>4170</v>
      </c>
      <c r="H1407" s="911" t="s">
        <v>3906</v>
      </c>
      <c r="I1407" s="911" t="s">
        <v>1411</v>
      </c>
      <c r="J1407" s="910" t="s">
        <v>4171</v>
      </c>
      <c r="K1407" s="909"/>
      <c r="L1407" s="909"/>
      <c r="M1407" s="907"/>
      <c r="N1407" s="908">
        <v>1</v>
      </c>
      <c r="O1407" s="908">
        <v>3</v>
      </c>
      <c r="P1407" s="907">
        <v>6000</v>
      </c>
      <c r="R1407" s="890"/>
    </row>
    <row r="1408" spans="1:18" s="276" customFormat="1" ht="36">
      <c r="A1408" s="908" t="s">
        <v>3199</v>
      </c>
      <c r="B1408" s="908" t="s">
        <v>1402</v>
      </c>
      <c r="C1408" s="912" t="s">
        <v>4243</v>
      </c>
      <c r="D1408" s="910" t="s">
        <v>3296</v>
      </c>
      <c r="E1408" s="907">
        <v>3500</v>
      </c>
      <c r="F1408" s="908">
        <v>75650972</v>
      </c>
      <c r="G1408" s="910" t="s">
        <v>4172</v>
      </c>
      <c r="H1408" s="911" t="s">
        <v>1420</v>
      </c>
      <c r="I1408" s="911" t="s">
        <v>1411</v>
      </c>
      <c r="J1408" s="910" t="s">
        <v>3858</v>
      </c>
      <c r="K1408" s="909">
        <v>2</v>
      </c>
      <c r="L1408" s="909">
        <v>4</v>
      </c>
      <c r="M1408" s="907">
        <v>14000</v>
      </c>
      <c r="N1408" s="908"/>
      <c r="O1408" s="908"/>
      <c r="P1408" s="907"/>
      <c r="R1408" s="890"/>
    </row>
    <row r="1409" spans="1:18" s="276" customFormat="1" ht="36">
      <c r="A1409" s="908" t="s">
        <v>3199</v>
      </c>
      <c r="B1409" s="908" t="s">
        <v>1402</v>
      </c>
      <c r="C1409" s="912" t="s">
        <v>4243</v>
      </c>
      <c r="D1409" s="910" t="s">
        <v>3318</v>
      </c>
      <c r="E1409" s="907">
        <v>3500</v>
      </c>
      <c r="F1409" s="908">
        <v>72146959</v>
      </c>
      <c r="G1409" s="910" t="s">
        <v>4173</v>
      </c>
      <c r="H1409" s="911" t="s">
        <v>3910</v>
      </c>
      <c r="I1409" s="911" t="s">
        <v>1411</v>
      </c>
      <c r="J1409" s="910" t="s">
        <v>3815</v>
      </c>
      <c r="K1409" s="909">
        <v>2</v>
      </c>
      <c r="L1409" s="909">
        <v>9</v>
      </c>
      <c r="M1409" s="907">
        <v>31500</v>
      </c>
      <c r="N1409" s="908">
        <v>1</v>
      </c>
      <c r="O1409" s="908">
        <v>4</v>
      </c>
      <c r="P1409" s="907">
        <v>18000</v>
      </c>
      <c r="R1409" s="890"/>
    </row>
    <row r="1410" spans="1:18" s="276" customFormat="1" ht="36">
      <c r="A1410" s="908" t="s">
        <v>3199</v>
      </c>
      <c r="B1410" s="908" t="s">
        <v>1402</v>
      </c>
      <c r="C1410" s="912" t="s">
        <v>4243</v>
      </c>
      <c r="D1410" s="910" t="s">
        <v>3408</v>
      </c>
      <c r="E1410" s="907">
        <v>3000</v>
      </c>
      <c r="F1410" s="908">
        <v>73438005</v>
      </c>
      <c r="G1410" s="910" t="s">
        <v>4174</v>
      </c>
      <c r="H1410" s="911" t="s">
        <v>3323</v>
      </c>
      <c r="I1410" s="911" t="s">
        <v>1411</v>
      </c>
      <c r="J1410" s="910" t="s">
        <v>3830</v>
      </c>
      <c r="K1410" s="909">
        <v>2</v>
      </c>
      <c r="L1410" s="909">
        <v>7</v>
      </c>
      <c r="M1410" s="907">
        <v>21000</v>
      </c>
      <c r="N1410" s="908">
        <v>1</v>
      </c>
      <c r="O1410" s="908">
        <v>4</v>
      </c>
      <c r="P1410" s="907">
        <v>14000</v>
      </c>
      <c r="R1410" s="890"/>
    </row>
    <row r="1411" spans="1:18" s="276" customFormat="1" ht="36">
      <c r="A1411" s="908" t="s">
        <v>3199</v>
      </c>
      <c r="B1411" s="908" t="s">
        <v>1402</v>
      </c>
      <c r="C1411" s="912" t="s">
        <v>4243</v>
      </c>
      <c r="D1411" s="910" t="s">
        <v>3408</v>
      </c>
      <c r="E1411" s="907">
        <v>3500</v>
      </c>
      <c r="F1411" s="908">
        <v>72939761</v>
      </c>
      <c r="G1411" s="910" t="s">
        <v>4175</v>
      </c>
      <c r="H1411" s="911" t="s">
        <v>3323</v>
      </c>
      <c r="I1411" s="911" t="s">
        <v>1411</v>
      </c>
      <c r="J1411" s="910" t="s">
        <v>4176</v>
      </c>
      <c r="K1411" s="909">
        <v>1</v>
      </c>
      <c r="L1411" s="909">
        <v>4</v>
      </c>
      <c r="M1411" s="907">
        <v>14000</v>
      </c>
      <c r="N1411" s="908"/>
      <c r="O1411" s="908"/>
      <c r="P1411" s="907"/>
      <c r="R1411" s="890"/>
    </row>
    <row r="1412" spans="1:18" s="276" customFormat="1" ht="36">
      <c r="A1412" s="908" t="s">
        <v>3199</v>
      </c>
      <c r="B1412" s="908" t="s">
        <v>1402</v>
      </c>
      <c r="C1412" s="912" t="s">
        <v>4243</v>
      </c>
      <c r="D1412" s="910" t="s">
        <v>3729</v>
      </c>
      <c r="E1412" s="907">
        <v>6000</v>
      </c>
      <c r="F1412" s="908" t="s">
        <v>4177</v>
      </c>
      <c r="G1412" s="910" t="s">
        <v>4178</v>
      </c>
      <c r="H1412" s="911" t="s">
        <v>1565</v>
      </c>
      <c r="I1412" s="911" t="s">
        <v>1411</v>
      </c>
      <c r="J1412" s="910" t="s">
        <v>2758</v>
      </c>
      <c r="K1412" s="909"/>
      <c r="L1412" s="909"/>
      <c r="M1412" s="907"/>
      <c r="N1412" s="908">
        <v>2</v>
      </c>
      <c r="O1412" s="908">
        <v>3</v>
      </c>
      <c r="P1412" s="907">
        <v>18000</v>
      </c>
      <c r="R1412" s="890"/>
    </row>
    <row r="1413" spans="1:18" s="276" customFormat="1" ht="36">
      <c r="A1413" s="908" t="s">
        <v>3199</v>
      </c>
      <c r="B1413" s="908" t="s">
        <v>1402</v>
      </c>
      <c r="C1413" s="912" t="s">
        <v>4243</v>
      </c>
      <c r="D1413" s="910" t="s">
        <v>3296</v>
      </c>
      <c r="E1413" s="907">
        <v>1600</v>
      </c>
      <c r="F1413" s="908">
        <v>43520930</v>
      </c>
      <c r="G1413" s="910" t="s">
        <v>4179</v>
      </c>
      <c r="H1413" s="911" t="s">
        <v>4180</v>
      </c>
      <c r="I1413" s="911" t="s">
        <v>1411</v>
      </c>
      <c r="J1413" s="910" t="s">
        <v>1477</v>
      </c>
      <c r="K1413" s="909">
        <v>1</v>
      </c>
      <c r="L1413" s="909">
        <v>5</v>
      </c>
      <c r="M1413" s="907">
        <v>5400</v>
      </c>
      <c r="N1413" s="908"/>
      <c r="O1413" s="908"/>
      <c r="P1413" s="907"/>
      <c r="R1413" s="890"/>
    </row>
    <row r="1414" spans="1:18" s="276" customFormat="1" ht="36">
      <c r="A1414" s="908" t="s">
        <v>3199</v>
      </c>
      <c r="B1414" s="908" t="s">
        <v>1402</v>
      </c>
      <c r="C1414" s="912" t="s">
        <v>4243</v>
      </c>
      <c r="D1414" s="910" t="s">
        <v>3826</v>
      </c>
      <c r="E1414" s="907">
        <v>1500</v>
      </c>
      <c r="F1414" s="908" t="s">
        <v>4181</v>
      </c>
      <c r="G1414" s="910" t="s">
        <v>4182</v>
      </c>
      <c r="H1414" s="911" t="s">
        <v>3828</v>
      </c>
      <c r="I1414" s="911" t="s">
        <v>3828</v>
      </c>
      <c r="J1414" s="910" t="s">
        <v>3828</v>
      </c>
      <c r="K1414" s="909">
        <v>1</v>
      </c>
      <c r="L1414" s="909">
        <v>6</v>
      </c>
      <c r="M1414" s="907">
        <v>9000</v>
      </c>
      <c r="N1414" s="908"/>
      <c r="O1414" s="908"/>
      <c r="P1414" s="907"/>
      <c r="R1414" s="890"/>
    </row>
    <row r="1415" spans="1:18" s="276" customFormat="1" ht="36">
      <c r="A1415" s="908" t="s">
        <v>3199</v>
      </c>
      <c r="B1415" s="908" t="s">
        <v>1402</v>
      </c>
      <c r="C1415" s="912" t="s">
        <v>4243</v>
      </c>
      <c r="D1415" s="910" t="s">
        <v>3700</v>
      </c>
      <c r="E1415" s="907">
        <v>2000</v>
      </c>
      <c r="F1415" s="908">
        <v>73816491</v>
      </c>
      <c r="G1415" s="910" t="s">
        <v>4183</v>
      </c>
      <c r="H1415" s="911" t="s">
        <v>3906</v>
      </c>
      <c r="I1415" s="911" t="s">
        <v>1411</v>
      </c>
      <c r="J1415" s="910" t="s">
        <v>4184</v>
      </c>
      <c r="K1415" s="909">
        <v>2</v>
      </c>
      <c r="L1415" s="909">
        <v>11</v>
      </c>
      <c r="M1415" s="907">
        <v>22000</v>
      </c>
      <c r="N1415" s="908">
        <v>1</v>
      </c>
      <c r="O1415" s="908">
        <v>3</v>
      </c>
      <c r="P1415" s="907">
        <v>6000</v>
      </c>
      <c r="R1415" s="890"/>
    </row>
    <row r="1416" spans="1:18" s="276" customFormat="1" ht="36">
      <c r="A1416" s="908" t="s">
        <v>3199</v>
      </c>
      <c r="B1416" s="908" t="s">
        <v>1402</v>
      </c>
      <c r="C1416" s="912" t="s">
        <v>4243</v>
      </c>
      <c r="D1416" s="910" t="s">
        <v>3793</v>
      </c>
      <c r="E1416" s="907">
        <v>6000</v>
      </c>
      <c r="F1416" s="908">
        <v>10355086</v>
      </c>
      <c r="G1416" s="910" t="s">
        <v>4185</v>
      </c>
      <c r="H1416" s="911" t="s">
        <v>4186</v>
      </c>
      <c r="I1416" s="911" t="s">
        <v>1411</v>
      </c>
      <c r="J1416" s="910" t="s">
        <v>2797</v>
      </c>
      <c r="K1416" s="909">
        <v>3</v>
      </c>
      <c r="L1416" s="909">
        <v>11</v>
      </c>
      <c r="M1416" s="907">
        <v>66000</v>
      </c>
      <c r="N1416" s="908">
        <v>1</v>
      </c>
      <c r="O1416" s="908">
        <v>5</v>
      </c>
      <c r="P1416" s="907">
        <v>30000</v>
      </c>
      <c r="R1416" s="890"/>
    </row>
    <row r="1417" spans="1:18" s="276" customFormat="1" ht="36">
      <c r="A1417" s="908" t="s">
        <v>3199</v>
      </c>
      <c r="B1417" s="908" t="s">
        <v>1402</v>
      </c>
      <c r="C1417" s="912" t="s">
        <v>4243</v>
      </c>
      <c r="D1417" s="910" t="s">
        <v>3465</v>
      </c>
      <c r="E1417" s="907">
        <v>3400</v>
      </c>
      <c r="F1417" s="908">
        <v>42931302</v>
      </c>
      <c r="G1417" s="910" t="s">
        <v>4187</v>
      </c>
      <c r="H1417" s="911" t="s">
        <v>3033</v>
      </c>
      <c r="I1417" s="911" t="s">
        <v>1411</v>
      </c>
      <c r="J1417" s="910" t="s">
        <v>4188</v>
      </c>
      <c r="K1417" s="909"/>
      <c r="L1417" s="909"/>
      <c r="M1417" s="907"/>
      <c r="N1417" s="908">
        <v>1</v>
      </c>
      <c r="O1417" s="908">
        <v>4</v>
      </c>
      <c r="P1417" s="907">
        <v>13600</v>
      </c>
      <c r="R1417" s="890"/>
    </row>
    <row r="1418" spans="1:18" s="276" customFormat="1" ht="36">
      <c r="A1418" s="908" t="s">
        <v>3199</v>
      </c>
      <c r="B1418" s="908" t="s">
        <v>1402</v>
      </c>
      <c r="C1418" s="912" t="s">
        <v>4243</v>
      </c>
      <c r="D1418" s="910" t="s">
        <v>3729</v>
      </c>
      <c r="E1418" s="907">
        <v>5000</v>
      </c>
      <c r="F1418" s="908" t="s">
        <v>4189</v>
      </c>
      <c r="G1418" s="910" t="s">
        <v>4190</v>
      </c>
      <c r="H1418" s="911" t="s">
        <v>2761</v>
      </c>
      <c r="I1418" s="911" t="s">
        <v>1411</v>
      </c>
      <c r="J1418" s="910" t="s">
        <v>2761</v>
      </c>
      <c r="K1418" s="909">
        <v>1</v>
      </c>
      <c r="L1418" s="909">
        <v>5</v>
      </c>
      <c r="M1418" s="907">
        <v>25000</v>
      </c>
      <c r="N1418" s="908"/>
      <c r="O1418" s="908"/>
      <c r="P1418" s="907"/>
      <c r="R1418" s="890"/>
    </row>
    <row r="1419" spans="1:18" s="276" customFormat="1" ht="36">
      <c r="A1419" s="908" t="s">
        <v>3199</v>
      </c>
      <c r="B1419" s="908" t="s">
        <v>1402</v>
      </c>
      <c r="C1419" s="912" t="s">
        <v>4243</v>
      </c>
      <c r="D1419" s="910" t="s">
        <v>3408</v>
      </c>
      <c r="E1419" s="907">
        <v>5000</v>
      </c>
      <c r="F1419" s="908" t="s">
        <v>4191</v>
      </c>
      <c r="G1419" s="910" t="s">
        <v>4192</v>
      </c>
      <c r="H1419" s="911" t="s">
        <v>3323</v>
      </c>
      <c r="I1419" s="911" t="s">
        <v>1411</v>
      </c>
      <c r="J1419" s="910" t="s">
        <v>4193</v>
      </c>
      <c r="K1419" s="909">
        <v>1</v>
      </c>
      <c r="L1419" s="909">
        <v>1</v>
      </c>
      <c r="M1419" s="907">
        <v>5000</v>
      </c>
      <c r="N1419" s="908"/>
      <c r="O1419" s="908"/>
      <c r="P1419" s="907"/>
      <c r="R1419" s="890"/>
    </row>
    <row r="1420" spans="1:18" s="276" customFormat="1" ht="36">
      <c r="A1420" s="908" t="s">
        <v>3199</v>
      </c>
      <c r="B1420" s="908" t="s">
        <v>1402</v>
      </c>
      <c r="C1420" s="912" t="s">
        <v>4243</v>
      </c>
      <c r="D1420" s="910" t="s">
        <v>3408</v>
      </c>
      <c r="E1420" s="907">
        <v>4000</v>
      </c>
      <c r="F1420" s="908">
        <v>47125839</v>
      </c>
      <c r="G1420" s="910" t="s">
        <v>4194</v>
      </c>
      <c r="H1420" s="911" t="s">
        <v>3323</v>
      </c>
      <c r="I1420" s="911" t="s">
        <v>1411</v>
      </c>
      <c r="J1420" s="910" t="s">
        <v>3830</v>
      </c>
      <c r="K1420" s="909">
        <v>2</v>
      </c>
      <c r="L1420" s="909">
        <v>8</v>
      </c>
      <c r="M1420" s="907">
        <v>32000</v>
      </c>
      <c r="N1420" s="908">
        <v>1</v>
      </c>
      <c r="O1420" s="908">
        <v>4</v>
      </c>
      <c r="P1420" s="907">
        <v>18000</v>
      </c>
      <c r="R1420" s="890"/>
    </row>
    <row r="1421" spans="1:18" s="276" customFormat="1" ht="36">
      <c r="A1421" s="908" t="s">
        <v>3199</v>
      </c>
      <c r="B1421" s="908" t="s">
        <v>1402</v>
      </c>
      <c r="C1421" s="912" t="s">
        <v>4243</v>
      </c>
      <c r="D1421" s="910" t="s">
        <v>3408</v>
      </c>
      <c r="E1421" s="907">
        <v>4000</v>
      </c>
      <c r="F1421" s="908">
        <v>71042959</v>
      </c>
      <c r="G1421" s="910" t="s">
        <v>4195</v>
      </c>
      <c r="H1421" s="911" t="s">
        <v>3323</v>
      </c>
      <c r="I1421" s="911" t="s">
        <v>1411</v>
      </c>
      <c r="J1421" s="910" t="s">
        <v>3830</v>
      </c>
      <c r="K1421" s="909">
        <v>2</v>
      </c>
      <c r="L1421" s="909">
        <v>9</v>
      </c>
      <c r="M1421" s="907">
        <v>36000</v>
      </c>
      <c r="N1421" s="908">
        <v>1</v>
      </c>
      <c r="O1421" s="908">
        <v>4</v>
      </c>
      <c r="P1421" s="907">
        <v>16000</v>
      </c>
      <c r="R1421" s="890"/>
    </row>
    <row r="1422" spans="1:18" s="276" customFormat="1" ht="36">
      <c r="A1422" s="908" t="s">
        <v>3199</v>
      </c>
      <c r="B1422" s="908" t="s">
        <v>1402</v>
      </c>
      <c r="C1422" s="912" t="s">
        <v>4243</v>
      </c>
      <c r="D1422" s="910" t="s">
        <v>3318</v>
      </c>
      <c r="E1422" s="907">
        <v>4000</v>
      </c>
      <c r="F1422" s="908" t="s">
        <v>3868</v>
      </c>
      <c r="G1422" s="910" t="s">
        <v>4196</v>
      </c>
      <c r="H1422" s="911" t="s">
        <v>3323</v>
      </c>
      <c r="I1422" s="911" t="s">
        <v>1411</v>
      </c>
      <c r="J1422" s="910" t="s">
        <v>3830</v>
      </c>
      <c r="K1422" s="909"/>
      <c r="L1422" s="909"/>
      <c r="M1422" s="907"/>
      <c r="N1422" s="908">
        <v>1</v>
      </c>
      <c r="O1422" s="908">
        <v>3</v>
      </c>
      <c r="P1422" s="907">
        <v>12000</v>
      </c>
      <c r="R1422" s="890"/>
    </row>
    <row r="1423" spans="1:18" s="276" customFormat="1" ht="36">
      <c r="A1423" s="908" t="s">
        <v>3199</v>
      </c>
      <c r="B1423" s="908" t="s">
        <v>1402</v>
      </c>
      <c r="C1423" s="912" t="s">
        <v>4243</v>
      </c>
      <c r="D1423" s="910" t="s">
        <v>3604</v>
      </c>
      <c r="E1423" s="907">
        <v>6000</v>
      </c>
      <c r="F1423" s="908" t="s">
        <v>4197</v>
      </c>
      <c r="G1423" s="910" t="s">
        <v>4198</v>
      </c>
      <c r="H1423" s="911" t="s">
        <v>4199</v>
      </c>
      <c r="I1423" s="911" t="s">
        <v>1411</v>
      </c>
      <c r="J1423" s="910" t="s">
        <v>3938</v>
      </c>
      <c r="K1423" s="909">
        <v>4</v>
      </c>
      <c r="L1423" s="909">
        <v>10</v>
      </c>
      <c r="M1423" s="907">
        <v>60000</v>
      </c>
      <c r="N1423" s="908">
        <v>1</v>
      </c>
      <c r="O1423" s="908">
        <v>5</v>
      </c>
      <c r="P1423" s="907">
        <v>30000</v>
      </c>
      <c r="R1423" s="890"/>
    </row>
    <row r="1424" spans="1:18" s="276" customFormat="1" ht="36">
      <c r="A1424" s="908" t="s">
        <v>3199</v>
      </c>
      <c r="B1424" s="908" t="s">
        <v>1402</v>
      </c>
      <c r="C1424" s="912" t="s">
        <v>4243</v>
      </c>
      <c r="D1424" s="910" t="s">
        <v>3318</v>
      </c>
      <c r="E1424" s="907">
        <v>7000</v>
      </c>
      <c r="F1424" s="908" t="s">
        <v>4200</v>
      </c>
      <c r="G1424" s="910" t="s">
        <v>4201</v>
      </c>
      <c r="H1424" s="911" t="s">
        <v>2743</v>
      </c>
      <c r="I1424" s="911" t="s">
        <v>1411</v>
      </c>
      <c r="J1424" s="910" t="s">
        <v>3815</v>
      </c>
      <c r="K1424" s="909">
        <v>4</v>
      </c>
      <c r="L1424" s="909">
        <v>8</v>
      </c>
      <c r="M1424" s="907">
        <v>56000</v>
      </c>
      <c r="N1424" s="908">
        <v>1</v>
      </c>
      <c r="O1424" s="908">
        <v>4</v>
      </c>
      <c r="P1424" s="907">
        <v>32000</v>
      </c>
      <c r="R1424" s="890"/>
    </row>
    <row r="1425" spans="1:18" s="276" customFormat="1" ht="36">
      <c r="A1425" s="908" t="s">
        <v>3199</v>
      </c>
      <c r="B1425" s="908" t="s">
        <v>1402</v>
      </c>
      <c r="C1425" s="912" t="s">
        <v>4243</v>
      </c>
      <c r="D1425" s="910" t="s">
        <v>3577</v>
      </c>
      <c r="E1425" s="907">
        <v>2370</v>
      </c>
      <c r="F1425" s="908">
        <v>4769980</v>
      </c>
      <c r="G1425" s="910" t="s">
        <v>4202</v>
      </c>
      <c r="H1425" s="911" t="s">
        <v>3828</v>
      </c>
      <c r="I1425" s="911" t="s">
        <v>3828</v>
      </c>
      <c r="J1425" s="910" t="s">
        <v>2867</v>
      </c>
      <c r="K1425" s="909">
        <v>2</v>
      </c>
      <c r="L1425" s="909">
        <v>6</v>
      </c>
      <c r="M1425" s="907">
        <v>14220</v>
      </c>
      <c r="N1425" s="908">
        <v>1</v>
      </c>
      <c r="O1425" s="908">
        <v>3</v>
      </c>
      <c r="P1425" s="907">
        <v>7110</v>
      </c>
      <c r="R1425" s="890"/>
    </row>
    <row r="1426" spans="1:18" s="276" customFormat="1" ht="36">
      <c r="A1426" s="908" t="s">
        <v>3199</v>
      </c>
      <c r="B1426" s="908" t="s">
        <v>1402</v>
      </c>
      <c r="C1426" s="912" t="s">
        <v>4243</v>
      </c>
      <c r="D1426" s="910" t="s">
        <v>3826</v>
      </c>
      <c r="E1426" s="907">
        <v>5000</v>
      </c>
      <c r="F1426" s="908">
        <v>446128219</v>
      </c>
      <c r="G1426" s="910" t="s">
        <v>4203</v>
      </c>
      <c r="H1426" s="911" t="s">
        <v>3903</v>
      </c>
      <c r="I1426" s="911" t="s">
        <v>1411</v>
      </c>
      <c r="J1426" s="910" t="s">
        <v>3815</v>
      </c>
      <c r="K1426" s="909">
        <v>5</v>
      </c>
      <c r="L1426" s="909">
        <v>11</v>
      </c>
      <c r="M1426" s="907">
        <v>55000</v>
      </c>
      <c r="N1426" s="908">
        <v>1</v>
      </c>
      <c r="O1426" s="908">
        <v>5</v>
      </c>
      <c r="P1426" s="907">
        <v>25000</v>
      </c>
      <c r="R1426" s="890"/>
    </row>
    <row r="1427" spans="1:18" s="276" customFormat="1" ht="36">
      <c r="A1427" s="908" t="s">
        <v>3199</v>
      </c>
      <c r="B1427" s="908" t="s">
        <v>1402</v>
      </c>
      <c r="C1427" s="912" t="s">
        <v>4243</v>
      </c>
      <c r="D1427" s="910" t="s">
        <v>3729</v>
      </c>
      <c r="E1427" s="907">
        <v>2500</v>
      </c>
      <c r="F1427" s="908">
        <v>48677603</v>
      </c>
      <c r="G1427" s="910" t="s">
        <v>4204</v>
      </c>
      <c r="H1427" s="911" t="s">
        <v>1565</v>
      </c>
      <c r="I1427" s="911" t="s">
        <v>1411</v>
      </c>
      <c r="J1427" s="910" t="s">
        <v>2939</v>
      </c>
      <c r="K1427" s="909">
        <v>3</v>
      </c>
      <c r="L1427" s="909">
        <v>11</v>
      </c>
      <c r="M1427" s="907">
        <v>27500</v>
      </c>
      <c r="N1427" s="908">
        <v>1</v>
      </c>
      <c r="O1427" s="908">
        <v>6</v>
      </c>
      <c r="P1427" s="907">
        <v>15000</v>
      </c>
      <c r="R1427" s="890"/>
    </row>
    <row r="1428" spans="1:18" s="276" customFormat="1" ht="36">
      <c r="A1428" s="908" t="s">
        <v>3199</v>
      </c>
      <c r="B1428" s="908" t="s">
        <v>1402</v>
      </c>
      <c r="C1428" s="912" t="s">
        <v>4243</v>
      </c>
      <c r="D1428" s="910" t="s">
        <v>3318</v>
      </c>
      <c r="E1428" s="907">
        <v>3000</v>
      </c>
      <c r="F1428" s="908">
        <v>48804667</v>
      </c>
      <c r="G1428" s="910" t="s">
        <v>4205</v>
      </c>
      <c r="H1428" s="911" t="s">
        <v>3323</v>
      </c>
      <c r="I1428" s="911" t="s">
        <v>1411</v>
      </c>
      <c r="J1428" s="910" t="s">
        <v>4206</v>
      </c>
      <c r="K1428" s="909">
        <v>2</v>
      </c>
      <c r="L1428" s="909">
        <v>5</v>
      </c>
      <c r="M1428" s="907">
        <v>15000</v>
      </c>
      <c r="N1428" s="908">
        <v>1</v>
      </c>
      <c r="O1428" s="908">
        <v>3</v>
      </c>
      <c r="P1428" s="907">
        <v>9000</v>
      </c>
      <c r="R1428" s="890"/>
    </row>
    <row r="1429" spans="1:18" s="276" customFormat="1" ht="36">
      <c r="A1429" s="908" t="s">
        <v>3199</v>
      </c>
      <c r="B1429" s="908" t="s">
        <v>1402</v>
      </c>
      <c r="C1429" s="912" t="s">
        <v>4243</v>
      </c>
      <c r="D1429" s="910" t="s">
        <v>3520</v>
      </c>
      <c r="E1429" s="907">
        <v>2500</v>
      </c>
      <c r="F1429" s="908">
        <v>29739211</v>
      </c>
      <c r="G1429" s="910" t="s">
        <v>3564</v>
      </c>
      <c r="H1429" s="911" t="s">
        <v>3903</v>
      </c>
      <c r="I1429" s="911" t="s">
        <v>1411</v>
      </c>
      <c r="J1429" s="910" t="s">
        <v>3815</v>
      </c>
      <c r="K1429" s="909">
        <v>1</v>
      </c>
      <c r="L1429" s="909">
        <v>3</v>
      </c>
      <c r="M1429" s="907">
        <v>7500</v>
      </c>
      <c r="N1429" s="908"/>
      <c r="O1429" s="908"/>
      <c r="P1429" s="907"/>
      <c r="R1429" s="890"/>
    </row>
    <row r="1430" spans="1:18" s="276" customFormat="1" ht="36">
      <c r="A1430" s="908" t="s">
        <v>3199</v>
      </c>
      <c r="B1430" s="908" t="s">
        <v>1402</v>
      </c>
      <c r="C1430" s="912" t="s">
        <v>4243</v>
      </c>
      <c r="D1430" s="910" t="s">
        <v>3408</v>
      </c>
      <c r="E1430" s="907">
        <v>6200</v>
      </c>
      <c r="F1430" s="908" t="s">
        <v>4207</v>
      </c>
      <c r="G1430" s="910" t="s">
        <v>4208</v>
      </c>
      <c r="H1430" s="911" t="s">
        <v>3323</v>
      </c>
      <c r="I1430" s="911" t="s">
        <v>1411</v>
      </c>
      <c r="J1430" s="910" t="s">
        <v>3815</v>
      </c>
      <c r="K1430" s="909"/>
      <c r="L1430" s="909"/>
      <c r="M1430" s="907"/>
      <c r="N1430" s="908">
        <v>1</v>
      </c>
      <c r="O1430" s="908">
        <v>4</v>
      </c>
      <c r="P1430" s="907">
        <v>24800</v>
      </c>
      <c r="R1430" s="890"/>
    </row>
    <row r="1431" spans="1:18" s="276" customFormat="1" ht="36">
      <c r="A1431" s="908" t="s">
        <v>3199</v>
      </c>
      <c r="B1431" s="908" t="s">
        <v>1402</v>
      </c>
      <c r="C1431" s="912" t="s">
        <v>4243</v>
      </c>
      <c r="D1431" s="910" t="s">
        <v>3826</v>
      </c>
      <c r="E1431" s="907">
        <v>3000</v>
      </c>
      <c r="F1431" s="908">
        <v>70177123</v>
      </c>
      <c r="G1431" s="910" t="s">
        <v>4209</v>
      </c>
      <c r="H1431" s="911" t="s">
        <v>1420</v>
      </c>
      <c r="I1431" s="911" t="s">
        <v>1411</v>
      </c>
      <c r="J1431" s="910" t="s">
        <v>3987</v>
      </c>
      <c r="K1431" s="909">
        <v>2</v>
      </c>
      <c r="L1431" s="909">
        <v>3</v>
      </c>
      <c r="M1431" s="907">
        <v>9000</v>
      </c>
      <c r="N1431" s="908">
        <v>1</v>
      </c>
      <c r="O1431" s="908">
        <v>5</v>
      </c>
      <c r="P1431" s="907">
        <v>15000</v>
      </c>
      <c r="R1431" s="890"/>
    </row>
    <row r="1432" spans="1:18" s="276" customFormat="1" ht="36">
      <c r="A1432" s="908" t="s">
        <v>3199</v>
      </c>
      <c r="B1432" s="908" t="s">
        <v>1402</v>
      </c>
      <c r="C1432" s="912" t="s">
        <v>4243</v>
      </c>
      <c r="D1432" s="910" t="s">
        <v>3729</v>
      </c>
      <c r="E1432" s="907">
        <v>2000</v>
      </c>
      <c r="F1432" s="908">
        <v>6747694</v>
      </c>
      <c r="G1432" s="910" t="s">
        <v>4210</v>
      </c>
      <c r="H1432" s="911" t="s">
        <v>4041</v>
      </c>
      <c r="I1432" s="911" t="s">
        <v>4041</v>
      </c>
      <c r="J1432" s="910" t="s">
        <v>3828</v>
      </c>
      <c r="K1432" s="909">
        <v>1</v>
      </c>
      <c r="L1432" s="909">
        <v>2</v>
      </c>
      <c r="M1432" s="907">
        <v>4000</v>
      </c>
      <c r="N1432" s="908"/>
      <c r="O1432" s="908"/>
      <c r="P1432" s="907"/>
      <c r="R1432" s="890"/>
    </row>
    <row r="1433" spans="1:18" s="276" customFormat="1" ht="36">
      <c r="A1433" s="908" t="s">
        <v>3199</v>
      </c>
      <c r="B1433" s="908" t="s">
        <v>1402</v>
      </c>
      <c r="C1433" s="912" t="s">
        <v>4243</v>
      </c>
      <c r="D1433" s="910" t="s">
        <v>3729</v>
      </c>
      <c r="E1433" s="907">
        <v>2500</v>
      </c>
      <c r="F1433" s="908">
        <v>73139499</v>
      </c>
      <c r="G1433" s="910" t="s">
        <v>4211</v>
      </c>
      <c r="H1433" s="911" t="s">
        <v>3906</v>
      </c>
      <c r="I1433" s="911" t="s">
        <v>1411</v>
      </c>
      <c r="J1433" s="910" t="s">
        <v>1565</v>
      </c>
      <c r="K1433" s="909">
        <v>2</v>
      </c>
      <c r="L1433" s="909">
        <v>11</v>
      </c>
      <c r="M1433" s="907">
        <v>27500</v>
      </c>
      <c r="N1433" s="908">
        <v>1</v>
      </c>
      <c r="O1433" s="908">
        <v>6</v>
      </c>
      <c r="P1433" s="907">
        <v>15000</v>
      </c>
      <c r="R1433" s="890"/>
    </row>
    <row r="1434" spans="1:18" s="276" customFormat="1" ht="36">
      <c r="A1434" s="908" t="s">
        <v>3199</v>
      </c>
      <c r="B1434" s="908" t="s">
        <v>1402</v>
      </c>
      <c r="C1434" s="912" t="s">
        <v>4243</v>
      </c>
      <c r="D1434" s="910" t="s">
        <v>3408</v>
      </c>
      <c r="E1434" s="907">
        <v>4000</v>
      </c>
      <c r="F1434" s="908">
        <v>70428155</v>
      </c>
      <c r="G1434" s="910" t="s">
        <v>4212</v>
      </c>
      <c r="H1434" s="911" t="s">
        <v>3323</v>
      </c>
      <c r="I1434" s="911" t="s">
        <v>1411</v>
      </c>
      <c r="J1434" s="910" t="s">
        <v>3885</v>
      </c>
      <c r="K1434" s="909">
        <v>3</v>
      </c>
      <c r="L1434" s="909">
        <v>9</v>
      </c>
      <c r="M1434" s="907">
        <v>36000</v>
      </c>
      <c r="N1434" s="908">
        <v>1</v>
      </c>
      <c r="O1434" s="908">
        <v>4</v>
      </c>
      <c r="P1434" s="907">
        <v>16000</v>
      </c>
      <c r="R1434" s="890"/>
    </row>
    <row r="1435" spans="1:18" s="276" customFormat="1" ht="36">
      <c r="A1435" s="908" t="s">
        <v>3199</v>
      </c>
      <c r="B1435" s="908" t="s">
        <v>1402</v>
      </c>
      <c r="C1435" s="912" t="s">
        <v>4243</v>
      </c>
      <c r="D1435" s="910" t="s">
        <v>3811</v>
      </c>
      <c r="E1435" s="907">
        <v>6000</v>
      </c>
      <c r="F1435" s="908">
        <v>10304666</v>
      </c>
      <c r="G1435" s="910" t="s">
        <v>4213</v>
      </c>
      <c r="H1435" s="911" t="s">
        <v>4214</v>
      </c>
      <c r="I1435" s="911" t="s">
        <v>1411</v>
      </c>
      <c r="J1435" s="910" t="s">
        <v>4215</v>
      </c>
      <c r="K1435" s="909">
        <v>2</v>
      </c>
      <c r="L1435" s="909">
        <v>6</v>
      </c>
      <c r="M1435" s="907">
        <v>36000</v>
      </c>
      <c r="N1435" s="908"/>
      <c r="O1435" s="908"/>
      <c r="P1435" s="907"/>
      <c r="R1435" s="890"/>
    </row>
    <row r="1436" spans="1:18" s="276" customFormat="1" ht="36">
      <c r="A1436" s="908" t="s">
        <v>3199</v>
      </c>
      <c r="B1436" s="908" t="s">
        <v>1402</v>
      </c>
      <c r="C1436" s="912" t="s">
        <v>4243</v>
      </c>
      <c r="D1436" s="910" t="s">
        <v>3408</v>
      </c>
      <c r="E1436" s="907">
        <v>2500</v>
      </c>
      <c r="F1436" s="908">
        <v>70993461</v>
      </c>
      <c r="G1436" s="910" t="s">
        <v>4216</v>
      </c>
      <c r="H1436" s="911" t="s">
        <v>1565</v>
      </c>
      <c r="I1436" s="911" t="s">
        <v>1411</v>
      </c>
      <c r="J1436" s="910" t="s">
        <v>4217</v>
      </c>
      <c r="K1436" s="909">
        <v>2</v>
      </c>
      <c r="L1436" s="909">
        <v>7</v>
      </c>
      <c r="M1436" s="907">
        <v>17500</v>
      </c>
      <c r="N1436" s="908">
        <v>1</v>
      </c>
      <c r="O1436" s="908">
        <v>3</v>
      </c>
      <c r="P1436" s="907">
        <v>7500</v>
      </c>
      <c r="R1436" s="890"/>
    </row>
    <row r="1437" spans="1:18" s="276" customFormat="1" ht="36">
      <c r="A1437" s="908" t="s">
        <v>3199</v>
      </c>
      <c r="B1437" s="908" t="s">
        <v>1402</v>
      </c>
      <c r="C1437" s="912" t="s">
        <v>4243</v>
      </c>
      <c r="D1437" s="910" t="s">
        <v>3793</v>
      </c>
      <c r="E1437" s="907">
        <v>1500</v>
      </c>
      <c r="F1437" s="908">
        <v>43932646</v>
      </c>
      <c r="G1437" s="910" t="s">
        <v>4218</v>
      </c>
      <c r="H1437" s="911" t="s">
        <v>1407</v>
      </c>
      <c r="I1437" s="911" t="s">
        <v>1411</v>
      </c>
      <c r="J1437" s="910" t="s">
        <v>4219</v>
      </c>
      <c r="K1437" s="909">
        <v>4</v>
      </c>
      <c r="L1437" s="909">
        <v>11</v>
      </c>
      <c r="M1437" s="907">
        <v>16500</v>
      </c>
      <c r="N1437" s="908">
        <v>2</v>
      </c>
      <c r="O1437" s="908">
        <v>5</v>
      </c>
      <c r="P1437" s="907">
        <v>9000</v>
      </c>
      <c r="R1437" s="890"/>
    </row>
    <row r="1438" spans="1:18" s="276" customFormat="1" ht="36">
      <c r="A1438" s="908" t="s">
        <v>3199</v>
      </c>
      <c r="B1438" s="908" t="s">
        <v>1402</v>
      </c>
      <c r="C1438" s="912" t="s">
        <v>4243</v>
      </c>
      <c r="D1438" s="910" t="s">
        <v>3318</v>
      </c>
      <c r="E1438" s="907">
        <v>3500</v>
      </c>
      <c r="F1438" s="908" t="s">
        <v>4220</v>
      </c>
      <c r="G1438" s="910" t="s">
        <v>4221</v>
      </c>
      <c r="H1438" s="911" t="s">
        <v>3971</v>
      </c>
      <c r="I1438" s="911" t="s">
        <v>1411</v>
      </c>
      <c r="J1438" s="910" t="s">
        <v>3815</v>
      </c>
      <c r="K1438" s="909">
        <v>1</v>
      </c>
      <c r="L1438" s="909">
        <v>3</v>
      </c>
      <c r="M1438" s="907">
        <v>10500</v>
      </c>
      <c r="N1438" s="908">
        <v>1</v>
      </c>
      <c r="O1438" s="908">
        <v>3</v>
      </c>
      <c r="P1438" s="907">
        <v>10500</v>
      </c>
      <c r="R1438" s="890"/>
    </row>
    <row r="1439" spans="1:18" s="276" customFormat="1" ht="36">
      <c r="A1439" s="908" t="s">
        <v>3199</v>
      </c>
      <c r="B1439" s="908" t="s">
        <v>1402</v>
      </c>
      <c r="C1439" s="912" t="s">
        <v>4243</v>
      </c>
      <c r="D1439" s="910" t="s">
        <v>3520</v>
      </c>
      <c r="E1439" s="907">
        <v>8000</v>
      </c>
      <c r="F1439" s="908" t="s">
        <v>4222</v>
      </c>
      <c r="G1439" s="910" t="s">
        <v>4223</v>
      </c>
      <c r="H1439" s="911" t="s">
        <v>3971</v>
      </c>
      <c r="I1439" s="911" t="s">
        <v>1411</v>
      </c>
      <c r="J1439" s="910" t="s">
        <v>3971</v>
      </c>
      <c r="K1439" s="909">
        <v>1</v>
      </c>
      <c r="L1439" s="909">
        <v>4</v>
      </c>
      <c r="M1439" s="907">
        <v>32000</v>
      </c>
      <c r="N1439" s="908"/>
      <c r="O1439" s="908"/>
      <c r="P1439" s="907"/>
      <c r="R1439" s="890"/>
    </row>
    <row r="1440" spans="1:18" s="276" customFormat="1" ht="36">
      <c r="A1440" s="908" t="s">
        <v>3199</v>
      </c>
      <c r="B1440" s="908" t="s">
        <v>1402</v>
      </c>
      <c r="C1440" s="912" t="s">
        <v>4243</v>
      </c>
      <c r="D1440" s="910" t="s">
        <v>3296</v>
      </c>
      <c r="E1440" s="907">
        <v>7000</v>
      </c>
      <c r="F1440" s="908" t="s">
        <v>4224</v>
      </c>
      <c r="G1440" s="910" t="s">
        <v>4225</v>
      </c>
      <c r="H1440" s="911" t="s">
        <v>1410</v>
      </c>
      <c r="I1440" s="911" t="s">
        <v>1411</v>
      </c>
      <c r="J1440" s="910" t="s">
        <v>2750</v>
      </c>
      <c r="K1440" s="909">
        <v>1</v>
      </c>
      <c r="L1440" s="909">
        <v>4</v>
      </c>
      <c r="M1440" s="907">
        <v>28000</v>
      </c>
      <c r="N1440" s="908"/>
      <c r="O1440" s="908"/>
      <c r="P1440" s="907"/>
      <c r="R1440" s="890"/>
    </row>
    <row r="1441" spans="1:18" s="276" customFormat="1" ht="36">
      <c r="A1441" s="908" t="s">
        <v>3199</v>
      </c>
      <c r="B1441" s="908" t="s">
        <v>1402</v>
      </c>
      <c r="C1441" s="912" t="s">
        <v>4243</v>
      </c>
      <c r="D1441" s="910" t="s">
        <v>3826</v>
      </c>
      <c r="E1441" s="907">
        <v>1500</v>
      </c>
      <c r="F1441" s="908">
        <v>72552990</v>
      </c>
      <c r="G1441" s="910" t="s">
        <v>4226</v>
      </c>
      <c r="H1441" s="911" t="s">
        <v>3828</v>
      </c>
      <c r="I1441" s="911" t="s">
        <v>3828</v>
      </c>
      <c r="J1441" s="910" t="s">
        <v>3828</v>
      </c>
      <c r="K1441" s="909">
        <v>2</v>
      </c>
      <c r="L1441" s="909">
        <v>6</v>
      </c>
      <c r="M1441" s="907">
        <v>9000</v>
      </c>
      <c r="N1441" s="908"/>
      <c r="O1441" s="908"/>
      <c r="P1441" s="907"/>
      <c r="R1441" s="890"/>
    </row>
    <row r="1442" spans="1:18" s="276" customFormat="1" ht="36">
      <c r="A1442" s="908" t="s">
        <v>3199</v>
      </c>
      <c r="B1442" s="908" t="s">
        <v>1402</v>
      </c>
      <c r="C1442" s="912" t="s">
        <v>4243</v>
      </c>
      <c r="D1442" s="910" t="s">
        <v>3811</v>
      </c>
      <c r="E1442" s="907">
        <v>6000</v>
      </c>
      <c r="F1442" s="908">
        <v>70660170</v>
      </c>
      <c r="G1442" s="910" t="s">
        <v>4227</v>
      </c>
      <c r="H1442" s="911" t="s">
        <v>2454</v>
      </c>
      <c r="I1442" s="911" t="s">
        <v>1411</v>
      </c>
      <c r="J1442" s="910" t="s">
        <v>3093</v>
      </c>
      <c r="K1442" s="909">
        <v>3</v>
      </c>
      <c r="L1442" s="909">
        <v>7</v>
      </c>
      <c r="M1442" s="907">
        <v>42000</v>
      </c>
      <c r="N1442" s="908">
        <v>3</v>
      </c>
      <c r="O1442" s="908">
        <v>2</v>
      </c>
      <c r="P1442" s="907">
        <v>12000</v>
      </c>
      <c r="R1442" s="890"/>
    </row>
    <row r="1443" spans="1:18" s="276" customFormat="1" ht="36">
      <c r="A1443" s="908" t="s">
        <v>3199</v>
      </c>
      <c r="B1443" s="908" t="s">
        <v>1402</v>
      </c>
      <c r="C1443" s="912" t="s">
        <v>4243</v>
      </c>
      <c r="D1443" s="910" t="s">
        <v>3408</v>
      </c>
      <c r="E1443" s="907">
        <v>3000</v>
      </c>
      <c r="F1443" s="908">
        <v>48001031</v>
      </c>
      <c r="G1443" s="910" t="s">
        <v>4228</v>
      </c>
      <c r="H1443" s="911" t="s">
        <v>3323</v>
      </c>
      <c r="I1443" s="911" t="s">
        <v>1411</v>
      </c>
      <c r="J1443" s="910" t="s">
        <v>3830</v>
      </c>
      <c r="K1443" s="909">
        <v>2</v>
      </c>
      <c r="L1443" s="909">
        <v>9</v>
      </c>
      <c r="M1443" s="907">
        <v>27000</v>
      </c>
      <c r="N1443" s="908">
        <v>1</v>
      </c>
      <c r="O1443" s="908">
        <v>5</v>
      </c>
      <c r="P1443" s="907">
        <v>15000</v>
      </c>
      <c r="R1443" s="890"/>
    </row>
    <row r="1444" spans="1:18" s="276" customFormat="1" ht="36">
      <c r="A1444" s="908" t="s">
        <v>3199</v>
      </c>
      <c r="B1444" s="908" t="s">
        <v>1402</v>
      </c>
      <c r="C1444" s="912" t="s">
        <v>4243</v>
      </c>
      <c r="D1444" s="910" t="s">
        <v>3700</v>
      </c>
      <c r="E1444" s="907">
        <v>2500</v>
      </c>
      <c r="F1444" s="908">
        <v>74060131</v>
      </c>
      <c r="G1444" s="910" t="s">
        <v>4229</v>
      </c>
      <c r="H1444" s="911" t="s">
        <v>1407</v>
      </c>
      <c r="I1444" s="911" t="s">
        <v>1411</v>
      </c>
      <c r="J1444" s="910" t="s">
        <v>1811</v>
      </c>
      <c r="K1444" s="909">
        <v>2</v>
      </c>
      <c r="L1444" s="909">
        <v>11</v>
      </c>
      <c r="M1444" s="907">
        <v>27500</v>
      </c>
      <c r="N1444" s="908">
        <v>1</v>
      </c>
      <c r="O1444" s="908">
        <v>5</v>
      </c>
      <c r="P1444" s="907">
        <v>12500</v>
      </c>
      <c r="R1444" s="890"/>
    </row>
    <row r="1445" spans="1:18" s="276" customFormat="1" ht="36">
      <c r="A1445" s="908" t="s">
        <v>3199</v>
      </c>
      <c r="B1445" s="908" t="s">
        <v>1402</v>
      </c>
      <c r="C1445" s="912" t="s">
        <v>4243</v>
      </c>
      <c r="D1445" s="910" t="s">
        <v>3604</v>
      </c>
      <c r="E1445" s="907">
        <v>4000</v>
      </c>
      <c r="F1445" s="908">
        <v>72916096</v>
      </c>
      <c r="G1445" s="910" t="s">
        <v>4230</v>
      </c>
      <c r="H1445" s="911" t="s">
        <v>4231</v>
      </c>
      <c r="I1445" s="911" t="s">
        <v>1411</v>
      </c>
      <c r="J1445" s="910" t="s">
        <v>3963</v>
      </c>
      <c r="K1445" s="909">
        <v>2</v>
      </c>
      <c r="L1445" s="909">
        <v>8</v>
      </c>
      <c r="M1445" s="907">
        <v>32000</v>
      </c>
      <c r="N1445" s="908"/>
      <c r="O1445" s="908"/>
      <c r="P1445" s="907"/>
      <c r="R1445" s="890"/>
    </row>
    <row r="1446" spans="1:18" s="276" customFormat="1" ht="36">
      <c r="A1446" s="908" t="s">
        <v>3199</v>
      </c>
      <c r="B1446" s="908" t="s">
        <v>1402</v>
      </c>
      <c r="C1446" s="912" t="s">
        <v>4243</v>
      </c>
      <c r="D1446" s="910" t="s">
        <v>3729</v>
      </c>
      <c r="E1446" s="907">
        <v>6500</v>
      </c>
      <c r="F1446" s="908">
        <v>10311159</v>
      </c>
      <c r="G1446" s="910" t="s">
        <v>4232</v>
      </c>
      <c r="H1446" s="911" t="s">
        <v>4233</v>
      </c>
      <c r="I1446" s="911" t="s">
        <v>1411</v>
      </c>
      <c r="J1446" s="910" t="s">
        <v>4103</v>
      </c>
      <c r="K1446" s="909">
        <v>3</v>
      </c>
      <c r="L1446" s="909">
        <v>11</v>
      </c>
      <c r="M1446" s="907">
        <v>71500</v>
      </c>
      <c r="N1446" s="908"/>
      <c r="O1446" s="908"/>
      <c r="P1446" s="907"/>
      <c r="R1446" s="890"/>
    </row>
    <row r="1447" spans="1:18" s="276" customFormat="1" ht="36">
      <c r="A1447" s="908" t="s">
        <v>3199</v>
      </c>
      <c r="B1447" s="908" t="s">
        <v>1402</v>
      </c>
      <c r="C1447" s="912" t="s">
        <v>4243</v>
      </c>
      <c r="D1447" s="910" t="s">
        <v>3700</v>
      </c>
      <c r="E1447" s="907">
        <v>2000</v>
      </c>
      <c r="F1447" s="908">
        <v>41660072</v>
      </c>
      <c r="G1447" s="910" t="s">
        <v>4234</v>
      </c>
      <c r="H1447" s="911" t="s">
        <v>4235</v>
      </c>
      <c r="I1447" s="911" t="s">
        <v>1411</v>
      </c>
      <c r="J1447" s="910" t="s">
        <v>4236</v>
      </c>
      <c r="K1447" s="909">
        <v>2</v>
      </c>
      <c r="L1447" s="909">
        <v>11</v>
      </c>
      <c r="M1447" s="907">
        <v>22000</v>
      </c>
      <c r="N1447" s="908">
        <v>1</v>
      </c>
      <c r="O1447" s="908">
        <v>5</v>
      </c>
      <c r="P1447" s="907">
        <v>10000</v>
      </c>
      <c r="R1447" s="890"/>
    </row>
    <row r="1448" spans="1:18" s="276" customFormat="1" ht="36">
      <c r="A1448" s="908" t="s">
        <v>3199</v>
      </c>
      <c r="B1448" s="908" t="s">
        <v>1402</v>
      </c>
      <c r="C1448" s="912" t="s">
        <v>4243</v>
      </c>
      <c r="D1448" s="910" t="s">
        <v>3408</v>
      </c>
      <c r="E1448" s="907">
        <v>5000</v>
      </c>
      <c r="F1448" s="908">
        <v>43076202</v>
      </c>
      <c r="G1448" s="910" t="s">
        <v>4237</v>
      </c>
      <c r="H1448" s="911" t="s">
        <v>2743</v>
      </c>
      <c r="I1448" s="911" t="s">
        <v>1411</v>
      </c>
      <c r="J1448" s="910" t="s">
        <v>3815</v>
      </c>
      <c r="K1448" s="909">
        <v>1</v>
      </c>
      <c r="L1448" s="909">
        <v>3</v>
      </c>
      <c r="M1448" s="907">
        <v>15000</v>
      </c>
      <c r="N1448" s="908"/>
      <c r="O1448" s="908"/>
      <c r="P1448" s="907"/>
      <c r="R1448" s="890"/>
    </row>
    <row r="1449" spans="1:18" s="276" customFormat="1" ht="36">
      <c r="A1449" s="908" t="s">
        <v>3199</v>
      </c>
      <c r="B1449" s="908" t="s">
        <v>1402</v>
      </c>
      <c r="C1449" s="912" t="s">
        <v>4243</v>
      </c>
      <c r="D1449" s="910" t="s">
        <v>3318</v>
      </c>
      <c r="E1449" s="907">
        <v>5500</v>
      </c>
      <c r="F1449" s="908">
        <v>70230191</v>
      </c>
      <c r="G1449" s="910" t="s">
        <v>4238</v>
      </c>
      <c r="H1449" s="911" t="s">
        <v>2743</v>
      </c>
      <c r="I1449" s="911" t="s">
        <v>1411</v>
      </c>
      <c r="J1449" s="910" t="s">
        <v>3815</v>
      </c>
      <c r="K1449" s="909">
        <v>1</v>
      </c>
      <c r="L1449" s="909">
        <v>3</v>
      </c>
      <c r="M1449" s="907">
        <v>16500</v>
      </c>
      <c r="N1449" s="908"/>
      <c r="O1449" s="908"/>
      <c r="P1449" s="907"/>
      <c r="R1449" s="890"/>
    </row>
    <row r="1450" spans="1:18" s="276" customFormat="1" ht="36">
      <c r="A1450" s="908" t="s">
        <v>3199</v>
      </c>
      <c r="B1450" s="908" t="s">
        <v>1402</v>
      </c>
      <c r="C1450" s="912" t="s">
        <v>4243</v>
      </c>
      <c r="D1450" s="910" t="s">
        <v>3318</v>
      </c>
      <c r="E1450" s="907">
        <v>6000</v>
      </c>
      <c r="F1450" s="908" t="s">
        <v>4239</v>
      </c>
      <c r="G1450" s="910" t="s">
        <v>4240</v>
      </c>
      <c r="H1450" s="911" t="s">
        <v>3323</v>
      </c>
      <c r="I1450" s="911" t="s">
        <v>1411</v>
      </c>
      <c r="J1450" s="910" t="s">
        <v>3815</v>
      </c>
      <c r="K1450" s="909"/>
      <c r="L1450" s="909"/>
      <c r="M1450" s="907"/>
      <c r="N1450" s="908">
        <v>1</v>
      </c>
      <c r="O1450" s="908">
        <v>4</v>
      </c>
      <c r="P1450" s="907">
        <v>24000</v>
      </c>
      <c r="R1450" s="890"/>
    </row>
    <row r="1451" spans="1:18" ht="18" customHeight="1">
      <c r="A1451" s="906"/>
      <c r="B1451" s="901"/>
      <c r="C1451" s="901"/>
      <c r="D1451" s="901"/>
      <c r="E1451" s="901"/>
      <c r="F1451" s="902"/>
      <c r="G1451" s="901"/>
      <c r="H1451" s="901"/>
      <c r="I1451" s="901"/>
      <c r="J1451" s="901"/>
      <c r="K1451" s="899"/>
      <c r="L1451" s="899"/>
      <c r="M1451" s="905">
        <f>SUM(M1187:M1450)</f>
        <v>6229835</v>
      </c>
      <c r="N1451" s="904"/>
      <c r="O1451" s="904"/>
      <c r="P1451" s="903">
        <f>SUM(P900:P1450)</f>
        <v>20130099.660000086</v>
      </c>
    </row>
    <row r="1452" spans="1:18" ht="18" customHeight="1">
      <c r="A1452" s="824"/>
      <c r="B1452" s="901"/>
      <c r="C1452" s="901"/>
      <c r="D1452" s="901"/>
      <c r="E1452" s="901"/>
      <c r="F1452" s="902"/>
      <c r="G1452" s="901"/>
      <c r="H1452" s="901"/>
      <c r="I1452" s="901"/>
      <c r="J1452" s="900" t="s">
        <v>4242</v>
      </c>
      <c r="K1452" s="899"/>
      <c r="L1452" s="899"/>
      <c r="M1452" s="898">
        <f>+M1451+M1186</f>
        <v>22812512.560000069</v>
      </c>
      <c r="N1452" s="897"/>
      <c r="O1452" s="897"/>
      <c r="P1452" s="896">
        <f>+P1451+P1186</f>
        <v>28733384.490000129</v>
      </c>
    </row>
    <row r="1453" spans="1:18" s="890" customFormat="1" ht="19.5" customHeight="1">
      <c r="A1453" s="895"/>
      <c r="B1453" s="892" t="s">
        <v>84</v>
      </c>
      <c r="C1453" s="892"/>
      <c r="D1453" s="892"/>
      <c r="E1453" s="892"/>
      <c r="F1453" s="894"/>
      <c r="G1453" s="892"/>
      <c r="H1453" s="892"/>
      <c r="I1453" s="892"/>
      <c r="J1453" s="892"/>
      <c r="K1453" s="893"/>
      <c r="L1453" s="893"/>
      <c r="M1453" s="891">
        <f>+M1452+M898+M776+M735</f>
        <v>74042928.580000043</v>
      </c>
      <c r="N1453" s="892"/>
      <c r="O1453" s="892"/>
      <c r="P1453" s="891">
        <f>+P1452+P898+P776+P735</f>
        <v>57577385.110000119</v>
      </c>
    </row>
  </sheetData>
  <mergeCells count="4">
    <mergeCell ref="A4:E4"/>
    <mergeCell ref="F4:J4"/>
    <mergeCell ref="K4:M4"/>
    <mergeCell ref="N4:P4"/>
  </mergeCells>
  <printOptions horizontalCentered="1"/>
  <pageMargins left="0" right="0" top="0.94488188976377963" bottom="0.55118110236220474" header="0.51181102362204722" footer="0.31496062992125984"/>
  <pageSetup paperSize="9" scale="48" orientation="landscape" r:id="rId1"/>
  <headerFooter alignWithMargins="0">
    <oddHeader>&amp;C&amp;"Arial,Negrita"&amp;18PROYECTO DE PRESUPUESTO 2021</oddHeader>
    <oddFooter>&amp;L&amp;"Arial,Negrita"&amp;8PROYECTO DE PRESUPUESTO PARA EL AÑO FISCAL 2021
INFORMACIÓN PARA LA COMISIÓN DE PRESUPUESTO Y CUENTA GENERAL DE LA REPÚBLICA DEL CONGRESO DE LA REPÚBLICA&amp;R&amp;P</oddFooter>
  </headerFooter>
  <rowBreaks count="2" manualBreakCount="2">
    <brk id="776" max="16383" man="1"/>
    <brk id="89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8" tint="-0.249977111117893"/>
  </sheetPr>
  <dimension ref="A1:S64"/>
  <sheetViews>
    <sheetView showGridLines="0" view="pageBreakPreview" topLeftCell="A43" zoomScale="80" zoomScaleNormal="100" zoomScaleSheetLayoutView="80" zoomScalePageLayoutView="85" workbookViewId="0">
      <selection activeCell="C4" sqref="C3:D4"/>
    </sheetView>
  </sheetViews>
  <sheetFormatPr baseColWidth="10" defaultColWidth="11.42578125" defaultRowHeight="12"/>
  <cols>
    <col min="1" max="1" width="14.42578125" style="24" customWidth="1"/>
    <col min="2" max="2" width="24.28515625" style="24" customWidth="1"/>
    <col min="3" max="3" width="37.28515625" style="24" customWidth="1"/>
    <col min="4" max="4" width="13.85546875" style="24" customWidth="1"/>
    <col min="5" max="5" width="21" style="24" customWidth="1"/>
    <col min="6" max="6" width="28.7109375" style="24" customWidth="1"/>
    <col min="7" max="7" width="16.42578125" style="4" customWidth="1"/>
    <col min="8" max="8" width="6.7109375" style="4" customWidth="1"/>
    <col min="9" max="9" width="6.7109375" style="24" customWidth="1"/>
    <col min="10" max="10" width="27.85546875" style="24" customWidth="1"/>
    <col min="11" max="11" width="11.28515625" style="24" customWidth="1"/>
    <col min="12" max="12" width="32.7109375" style="24" customWidth="1"/>
    <col min="13" max="13" width="12.28515625" style="24" customWidth="1"/>
    <col min="14" max="14" width="11.28515625" style="24" customWidth="1"/>
    <col min="15" max="16384" width="11.42578125" style="24"/>
  </cols>
  <sheetData>
    <row r="1" spans="1:19" s="11" customFormat="1">
      <c r="A1" s="26" t="s">
        <v>415</v>
      </c>
      <c r="B1" s="26"/>
      <c r="C1" s="26"/>
      <c r="D1" s="26"/>
      <c r="E1" s="26"/>
      <c r="F1" s="26"/>
      <c r="G1" s="26"/>
      <c r="H1" s="26"/>
      <c r="J1" s="26"/>
      <c r="K1" s="26"/>
      <c r="L1" s="26"/>
      <c r="M1" s="26"/>
      <c r="N1" s="26"/>
    </row>
    <row r="2" spans="1:19" s="2" customFormat="1">
      <c r="A2" s="25" t="s">
        <v>438</v>
      </c>
      <c r="B2" s="25"/>
      <c r="C2" s="25"/>
      <c r="D2" s="25"/>
      <c r="E2" s="25"/>
      <c r="F2" s="25"/>
      <c r="G2" s="25"/>
      <c r="H2" s="25"/>
      <c r="I2" s="25"/>
      <c r="J2" s="25"/>
      <c r="K2" s="25"/>
      <c r="L2" s="25"/>
      <c r="M2" s="25"/>
      <c r="N2" s="25"/>
      <c r="O2" s="25"/>
      <c r="P2" s="25"/>
      <c r="Q2" s="25"/>
      <c r="R2" s="25"/>
      <c r="S2" s="25"/>
    </row>
    <row r="3" spans="1:19" ht="12.75" thickBot="1"/>
    <row r="4" spans="1:19" s="7" customFormat="1" ht="21" customHeight="1" thickBot="1">
      <c r="A4" s="1775" t="s">
        <v>295</v>
      </c>
      <c r="B4" s="1776"/>
      <c r="C4" s="1777" t="s">
        <v>296</v>
      </c>
      <c r="D4" s="1777"/>
      <c r="E4" s="1778" t="s">
        <v>299</v>
      </c>
      <c r="F4" s="1779"/>
      <c r="G4" s="1779"/>
      <c r="H4" s="1779"/>
      <c r="I4" s="1780"/>
      <c r="J4" s="1777" t="s">
        <v>300</v>
      </c>
      <c r="K4" s="1777"/>
      <c r="L4" s="1776"/>
      <c r="M4" s="1692" t="s">
        <v>348</v>
      </c>
      <c r="N4" s="1773" t="s">
        <v>349</v>
      </c>
    </row>
    <row r="5" spans="1:19" s="8" customFormat="1" ht="86.25" customHeight="1" thickBot="1">
      <c r="A5" s="71" t="s">
        <v>98</v>
      </c>
      <c r="B5" s="74" t="s">
        <v>99</v>
      </c>
      <c r="C5" s="72" t="s">
        <v>298</v>
      </c>
      <c r="D5" s="75" t="s">
        <v>297</v>
      </c>
      <c r="E5" s="71" t="s">
        <v>303</v>
      </c>
      <c r="F5" s="73" t="s">
        <v>304</v>
      </c>
      <c r="G5" s="76" t="s">
        <v>305</v>
      </c>
      <c r="H5" s="76" t="s">
        <v>306</v>
      </c>
      <c r="I5" s="77" t="s">
        <v>21</v>
      </c>
      <c r="J5" s="71" t="s">
        <v>301</v>
      </c>
      <c r="K5" s="72" t="s">
        <v>302</v>
      </c>
      <c r="L5" s="78" t="s">
        <v>307</v>
      </c>
      <c r="M5" s="1693"/>
      <c r="N5" s="1774"/>
    </row>
    <row r="6" spans="1:19" s="216" customFormat="1" ht="30" customHeight="1">
      <c r="A6" s="871" t="s">
        <v>1355</v>
      </c>
      <c r="B6" s="866" t="s">
        <v>1330</v>
      </c>
      <c r="C6" s="830" t="s">
        <v>1331</v>
      </c>
      <c r="D6" s="831">
        <v>22070497</v>
      </c>
      <c r="E6" s="849" t="s">
        <v>1332</v>
      </c>
      <c r="F6" s="851" t="s">
        <v>1333</v>
      </c>
      <c r="G6" s="852">
        <v>90</v>
      </c>
      <c r="H6" s="852" t="s">
        <v>782</v>
      </c>
      <c r="I6" s="853" t="s">
        <v>782</v>
      </c>
      <c r="J6" s="849" t="s">
        <v>1334</v>
      </c>
      <c r="K6" s="832">
        <v>2500</v>
      </c>
      <c r="L6" s="850" t="s">
        <v>1335</v>
      </c>
      <c r="M6" s="854">
        <v>2500</v>
      </c>
      <c r="N6" s="854">
        <v>0</v>
      </c>
    </row>
    <row r="7" spans="1:19" s="216" customFormat="1" ht="30" customHeight="1">
      <c r="A7" s="867" t="s">
        <v>1355</v>
      </c>
      <c r="B7" s="868" t="s">
        <v>1330</v>
      </c>
      <c r="C7" s="833" t="s">
        <v>1331</v>
      </c>
      <c r="D7" s="834">
        <v>22070497</v>
      </c>
      <c r="E7" s="855" t="s">
        <v>1332</v>
      </c>
      <c r="F7" s="857" t="s">
        <v>1333</v>
      </c>
      <c r="G7" s="858">
        <v>90</v>
      </c>
      <c r="H7" s="858" t="s">
        <v>782</v>
      </c>
      <c r="I7" s="859" t="s">
        <v>782</v>
      </c>
      <c r="J7" s="855" t="s">
        <v>1336</v>
      </c>
      <c r="K7" s="835">
        <v>2500</v>
      </c>
      <c r="L7" s="856" t="s">
        <v>1335</v>
      </c>
      <c r="M7" s="806">
        <v>5000</v>
      </c>
      <c r="N7" s="806">
        <v>0</v>
      </c>
    </row>
    <row r="8" spans="1:19" s="216" customFormat="1" ht="30" customHeight="1">
      <c r="A8" s="867" t="s">
        <v>1355</v>
      </c>
      <c r="B8" s="868" t="s">
        <v>1330</v>
      </c>
      <c r="C8" s="833" t="s">
        <v>1337</v>
      </c>
      <c r="D8" s="834">
        <v>9412584</v>
      </c>
      <c r="E8" s="855" t="s">
        <v>1332</v>
      </c>
      <c r="F8" s="857">
        <v>6191698</v>
      </c>
      <c r="G8" s="858">
        <v>343.06</v>
      </c>
      <c r="H8" s="858" t="s">
        <v>1338</v>
      </c>
      <c r="I8" s="859" t="s">
        <v>782</v>
      </c>
      <c r="J8" s="855" t="s">
        <v>1334</v>
      </c>
      <c r="K8" s="835">
        <v>2000</v>
      </c>
      <c r="L8" s="856" t="s">
        <v>1335</v>
      </c>
      <c r="M8" s="806">
        <v>2000</v>
      </c>
      <c r="N8" s="806">
        <v>0</v>
      </c>
    </row>
    <row r="9" spans="1:19" s="216" customFormat="1" ht="30" customHeight="1">
      <c r="A9" s="867" t="s">
        <v>1355</v>
      </c>
      <c r="B9" s="868" t="s">
        <v>1330</v>
      </c>
      <c r="C9" s="833" t="s">
        <v>1339</v>
      </c>
      <c r="D9" s="834">
        <v>3129897</v>
      </c>
      <c r="E9" s="855" t="s">
        <v>1332</v>
      </c>
      <c r="F9" s="857" t="s">
        <v>1340</v>
      </c>
      <c r="G9" s="858">
        <v>60.72</v>
      </c>
      <c r="H9" s="858" t="s">
        <v>782</v>
      </c>
      <c r="I9" s="859" t="s">
        <v>782</v>
      </c>
      <c r="J9" s="855" t="s">
        <v>1334</v>
      </c>
      <c r="K9" s="835">
        <v>1800</v>
      </c>
      <c r="L9" s="856" t="s">
        <v>1335</v>
      </c>
      <c r="M9" s="806">
        <v>1800</v>
      </c>
      <c r="N9" s="806">
        <v>0</v>
      </c>
    </row>
    <row r="10" spans="1:19" s="216" customFormat="1" ht="30" customHeight="1">
      <c r="A10" s="867" t="s">
        <v>1355</v>
      </c>
      <c r="B10" s="868" t="s">
        <v>1330</v>
      </c>
      <c r="C10" s="833" t="s">
        <v>1339</v>
      </c>
      <c r="D10" s="834">
        <v>3129897</v>
      </c>
      <c r="E10" s="855" t="s">
        <v>1332</v>
      </c>
      <c r="F10" s="857" t="s">
        <v>1340</v>
      </c>
      <c r="G10" s="858">
        <v>60.72</v>
      </c>
      <c r="H10" s="858" t="s">
        <v>782</v>
      </c>
      <c r="I10" s="859" t="s">
        <v>782</v>
      </c>
      <c r="J10" s="855" t="s">
        <v>1341</v>
      </c>
      <c r="K10" s="835">
        <v>1800</v>
      </c>
      <c r="L10" s="856" t="s">
        <v>1335</v>
      </c>
      <c r="M10" s="806">
        <v>1800</v>
      </c>
      <c r="N10" s="806">
        <v>0</v>
      </c>
    </row>
    <row r="11" spans="1:19" s="216" customFormat="1" ht="30" customHeight="1">
      <c r="A11" s="867" t="s">
        <v>1355</v>
      </c>
      <c r="B11" s="868" t="s">
        <v>1330</v>
      </c>
      <c r="C11" s="833" t="s">
        <v>1342</v>
      </c>
      <c r="D11" s="834">
        <v>20448729789</v>
      </c>
      <c r="E11" s="855" t="s">
        <v>1332</v>
      </c>
      <c r="F11" s="857" t="s">
        <v>1343</v>
      </c>
      <c r="G11" s="858">
        <v>70</v>
      </c>
      <c r="H11" s="858" t="s">
        <v>782</v>
      </c>
      <c r="I11" s="859" t="s">
        <v>782</v>
      </c>
      <c r="J11" s="855" t="s">
        <v>1344</v>
      </c>
      <c r="K11" s="835">
        <v>1800</v>
      </c>
      <c r="L11" s="856" t="s">
        <v>1335</v>
      </c>
      <c r="M11" s="806">
        <v>1800</v>
      </c>
      <c r="N11" s="806">
        <v>0</v>
      </c>
    </row>
    <row r="12" spans="1:19" s="216" customFormat="1" ht="30" customHeight="1">
      <c r="A12" s="867" t="s">
        <v>1355</v>
      </c>
      <c r="B12" s="868" t="s">
        <v>1330</v>
      </c>
      <c r="C12" s="833" t="s">
        <v>1342</v>
      </c>
      <c r="D12" s="834">
        <v>20448729789</v>
      </c>
      <c r="E12" s="855" t="s">
        <v>1332</v>
      </c>
      <c r="F12" s="857" t="s">
        <v>1343</v>
      </c>
      <c r="G12" s="858">
        <v>70</v>
      </c>
      <c r="H12" s="858" t="s">
        <v>782</v>
      </c>
      <c r="I12" s="859" t="s">
        <v>782</v>
      </c>
      <c r="J12" s="855" t="s">
        <v>1336</v>
      </c>
      <c r="K12" s="835">
        <v>1800</v>
      </c>
      <c r="L12" s="856" t="s">
        <v>1335</v>
      </c>
      <c r="M12" s="806">
        <v>3600</v>
      </c>
      <c r="N12" s="806">
        <v>0</v>
      </c>
    </row>
    <row r="13" spans="1:19" s="216" customFormat="1" ht="30" customHeight="1">
      <c r="A13" s="867" t="s">
        <v>1355</v>
      </c>
      <c r="B13" s="868" t="s">
        <v>1330</v>
      </c>
      <c r="C13" s="833" t="s">
        <v>1345</v>
      </c>
      <c r="D13" s="834">
        <v>4801668</v>
      </c>
      <c r="E13" s="855" t="s">
        <v>1332</v>
      </c>
      <c r="F13" s="857" t="s">
        <v>1346</v>
      </c>
      <c r="G13" s="858">
        <v>372.35</v>
      </c>
      <c r="H13" s="858" t="s">
        <v>782</v>
      </c>
      <c r="I13" s="859" t="s">
        <v>782</v>
      </c>
      <c r="J13" s="855" t="s">
        <v>1347</v>
      </c>
      <c r="K13" s="835">
        <v>2800</v>
      </c>
      <c r="L13" s="856" t="s">
        <v>1335</v>
      </c>
      <c r="M13" s="806">
        <v>2800</v>
      </c>
      <c r="N13" s="806">
        <v>0</v>
      </c>
    </row>
    <row r="14" spans="1:19" s="216" customFormat="1" ht="30" customHeight="1">
      <c r="A14" s="867" t="s">
        <v>1355</v>
      </c>
      <c r="B14" s="868" t="s">
        <v>1330</v>
      </c>
      <c r="C14" s="833" t="s">
        <v>1345</v>
      </c>
      <c r="D14" s="834">
        <v>4801668</v>
      </c>
      <c r="E14" s="855" t="s">
        <v>1332</v>
      </c>
      <c r="F14" s="857" t="s">
        <v>1346</v>
      </c>
      <c r="G14" s="858">
        <v>372.35</v>
      </c>
      <c r="H14" s="858" t="s">
        <v>782</v>
      </c>
      <c r="I14" s="859" t="s">
        <v>782</v>
      </c>
      <c r="J14" s="855" t="s">
        <v>1348</v>
      </c>
      <c r="K14" s="835">
        <v>2800</v>
      </c>
      <c r="L14" s="856" t="s">
        <v>1335</v>
      </c>
      <c r="M14" s="806">
        <v>11200</v>
      </c>
      <c r="N14" s="806">
        <v>0</v>
      </c>
    </row>
    <row r="15" spans="1:19" s="216" customFormat="1" ht="30" customHeight="1">
      <c r="A15" s="867" t="s">
        <v>1355</v>
      </c>
      <c r="B15" s="868" t="s">
        <v>1330</v>
      </c>
      <c r="C15" s="833" t="s">
        <v>1345</v>
      </c>
      <c r="D15" s="834">
        <v>4801668</v>
      </c>
      <c r="E15" s="855" t="s">
        <v>1332</v>
      </c>
      <c r="F15" s="857" t="s">
        <v>1346</v>
      </c>
      <c r="G15" s="858">
        <v>372.35</v>
      </c>
      <c r="H15" s="858" t="s">
        <v>782</v>
      </c>
      <c r="I15" s="859" t="s">
        <v>782</v>
      </c>
      <c r="J15" s="855" t="s">
        <v>1349</v>
      </c>
      <c r="K15" s="835">
        <v>2800</v>
      </c>
      <c r="L15" s="856" t="s">
        <v>1335</v>
      </c>
      <c r="M15" s="806">
        <v>2800</v>
      </c>
      <c r="N15" s="806">
        <v>0</v>
      </c>
    </row>
    <row r="16" spans="1:19" s="216" customFormat="1" ht="30" customHeight="1">
      <c r="A16" s="867" t="s">
        <v>1355</v>
      </c>
      <c r="B16" s="868" t="s">
        <v>1330</v>
      </c>
      <c r="C16" s="833" t="s">
        <v>1350</v>
      </c>
      <c r="D16" s="834">
        <v>43112344</v>
      </c>
      <c r="E16" s="855" t="s">
        <v>1332</v>
      </c>
      <c r="F16" s="857" t="s">
        <v>1351</v>
      </c>
      <c r="G16" s="858">
        <v>77</v>
      </c>
      <c r="H16" s="858" t="s">
        <v>782</v>
      </c>
      <c r="I16" s="859" t="s">
        <v>782</v>
      </c>
      <c r="J16" s="855" t="s">
        <v>1347</v>
      </c>
      <c r="K16" s="835">
        <v>1700</v>
      </c>
      <c r="L16" s="856" t="s">
        <v>1335</v>
      </c>
      <c r="M16" s="806">
        <v>1700</v>
      </c>
      <c r="N16" s="806">
        <v>0</v>
      </c>
    </row>
    <row r="17" spans="1:14" s="216" customFormat="1" ht="30" customHeight="1" thickBot="1">
      <c r="A17" s="869" t="s">
        <v>1355</v>
      </c>
      <c r="B17" s="870" t="s">
        <v>1330</v>
      </c>
      <c r="C17" s="836" t="s">
        <v>1352</v>
      </c>
      <c r="D17" s="837">
        <v>20211666421</v>
      </c>
      <c r="E17" s="860" t="s">
        <v>1332</v>
      </c>
      <c r="F17" s="862" t="s">
        <v>1353</v>
      </c>
      <c r="G17" s="863">
        <v>306.87</v>
      </c>
      <c r="H17" s="863" t="s">
        <v>1338</v>
      </c>
      <c r="I17" s="864" t="s">
        <v>782</v>
      </c>
      <c r="J17" s="860" t="s">
        <v>1354</v>
      </c>
      <c r="K17" s="838">
        <v>24000</v>
      </c>
      <c r="L17" s="861" t="s">
        <v>1335</v>
      </c>
      <c r="M17" s="865">
        <v>0</v>
      </c>
      <c r="N17" s="865">
        <v>24000</v>
      </c>
    </row>
    <row r="18" spans="1:14" s="848" customFormat="1" ht="20.25" customHeight="1" thickBot="1">
      <c r="A18" s="839" t="s">
        <v>0</v>
      </c>
      <c r="B18" s="840"/>
      <c r="C18" s="841"/>
      <c r="D18" s="842"/>
      <c r="E18" s="839"/>
      <c r="F18" s="843"/>
      <c r="G18" s="843"/>
      <c r="H18" s="843"/>
      <c r="I18" s="844"/>
      <c r="J18" s="845"/>
      <c r="K18" s="846"/>
      <c r="L18" s="840"/>
      <c r="M18" s="847">
        <f>SUM(M6:M17)</f>
        <v>37000</v>
      </c>
      <c r="N18" s="847">
        <f>SUM(N6:N17)</f>
        <v>24000</v>
      </c>
    </row>
    <row r="19" spans="1:14">
      <c r="A19" s="24" t="s">
        <v>416</v>
      </c>
    </row>
    <row r="29" spans="1:14" ht="12.75" thickBot="1"/>
    <row r="30" spans="1:14" ht="12.75" thickBot="1">
      <c r="A30" s="1775" t="s">
        <v>295</v>
      </c>
      <c r="B30" s="1776"/>
      <c r="C30" s="1777" t="s">
        <v>296</v>
      </c>
      <c r="D30" s="1777"/>
      <c r="E30" s="1778" t="s">
        <v>299</v>
      </c>
      <c r="F30" s="1779"/>
      <c r="G30" s="1779"/>
      <c r="H30" s="1779"/>
      <c r="I30" s="1780"/>
      <c r="J30" s="1777" t="s">
        <v>300</v>
      </c>
      <c r="K30" s="1777"/>
      <c r="L30" s="1776"/>
      <c r="M30" s="1692" t="s">
        <v>348</v>
      </c>
      <c r="N30" s="1773" t="s">
        <v>349</v>
      </c>
    </row>
    <row r="31" spans="1:14" ht="62.25" thickBot="1">
      <c r="A31" s="375" t="s">
        <v>98</v>
      </c>
      <c r="B31" s="74" t="s">
        <v>99</v>
      </c>
      <c r="C31" s="72" t="s">
        <v>298</v>
      </c>
      <c r="D31" s="373" t="s">
        <v>297</v>
      </c>
      <c r="E31" s="375" t="s">
        <v>303</v>
      </c>
      <c r="F31" s="376" t="s">
        <v>304</v>
      </c>
      <c r="G31" s="76" t="s">
        <v>305</v>
      </c>
      <c r="H31" s="76" t="s">
        <v>306</v>
      </c>
      <c r="I31" s="77" t="s">
        <v>21</v>
      </c>
      <c r="J31" s="375" t="s">
        <v>301</v>
      </c>
      <c r="K31" s="72" t="s">
        <v>302</v>
      </c>
      <c r="L31" s="374" t="s">
        <v>307</v>
      </c>
      <c r="M31" s="1693"/>
      <c r="N31" s="1774"/>
    </row>
    <row r="32" spans="1:14" ht="20.100000000000001" customHeight="1">
      <c r="A32" s="871"/>
      <c r="B32" s="866"/>
      <c r="C32" s="830"/>
      <c r="D32" s="831"/>
      <c r="E32" s="849"/>
      <c r="F32" s="851"/>
      <c r="G32" s="852"/>
      <c r="H32" s="852"/>
      <c r="I32" s="853"/>
      <c r="J32" s="849"/>
      <c r="K32" s="832"/>
      <c r="L32" s="850"/>
      <c r="M32" s="854"/>
      <c r="N32" s="854"/>
    </row>
    <row r="33" spans="1:14" ht="20.100000000000001" customHeight="1">
      <c r="A33" s="867" t="s">
        <v>1356</v>
      </c>
      <c r="B33" s="868" t="s">
        <v>1401</v>
      </c>
      <c r="C33" s="833"/>
      <c r="D33" s="834"/>
      <c r="E33" s="855"/>
      <c r="F33" s="857"/>
      <c r="G33" s="858"/>
      <c r="H33" s="858"/>
      <c r="I33" s="859"/>
      <c r="J33" s="855"/>
      <c r="K33" s="835"/>
      <c r="L33" s="856"/>
      <c r="M33" s="806"/>
      <c r="N33" s="806"/>
    </row>
    <row r="34" spans="1:14" ht="20.100000000000001" customHeight="1">
      <c r="A34" s="867"/>
      <c r="B34" s="868"/>
      <c r="C34" s="833"/>
      <c r="D34" s="834"/>
      <c r="E34" s="855"/>
      <c r="F34" s="857"/>
      <c r="G34" s="858"/>
      <c r="H34" s="858"/>
      <c r="I34" s="859"/>
      <c r="J34" s="855"/>
      <c r="K34" s="835"/>
      <c r="L34" s="856"/>
      <c r="M34" s="806"/>
      <c r="N34" s="806"/>
    </row>
    <row r="35" spans="1:14" ht="20.100000000000001" customHeight="1">
      <c r="A35" s="867"/>
      <c r="B35" s="868"/>
      <c r="C35" s="833"/>
      <c r="D35" s="834"/>
      <c r="E35" s="855"/>
      <c r="F35" s="857"/>
      <c r="G35" s="858"/>
      <c r="H35" s="858"/>
      <c r="I35" s="859"/>
      <c r="J35" s="855"/>
      <c r="K35" s="835"/>
      <c r="L35" s="856"/>
      <c r="M35" s="806"/>
      <c r="N35" s="806"/>
    </row>
    <row r="36" spans="1:14" ht="20.100000000000001" customHeight="1">
      <c r="A36" s="867"/>
      <c r="B36" s="868"/>
      <c r="C36" s="833"/>
      <c r="D36" s="834"/>
      <c r="E36" s="855"/>
      <c r="F36" s="857"/>
      <c r="G36" s="858"/>
      <c r="H36" s="858"/>
      <c r="I36" s="859"/>
      <c r="J36" s="855"/>
      <c r="K36" s="835"/>
      <c r="L36" s="856"/>
      <c r="M36" s="806"/>
      <c r="N36" s="806"/>
    </row>
    <row r="37" spans="1:14" ht="20.100000000000001" customHeight="1">
      <c r="A37" s="867"/>
      <c r="B37" s="868"/>
      <c r="C37" s="833"/>
      <c r="D37" s="834"/>
      <c r="E37" s="855"/>
      <c r="F37" s="857"/>
      <c r="G37" s="858"/>
      <c r="H37" s="858"/>
      <c r="I37" s="859"/>
      <c r="J37" s="855"/>
      <c r="K37" s="835"/>
      <c r="L37" s="856"/>
      <c r="M37" s="806"/>
      <c r="N37" s="806"/>
    </row>
    <row r="38" spans="1:14" ht="20.100000000000001" customHeight="1">
      <c r="A38" s="867"/>
      <c r="B38" s="868"/>
      <c r="C38" s="833"/>
      <c r="D38" s="834"/>
      <c r="E38" s="855"/>
      <c r="F38" s="857"/>
      <c r="G38" s="858"/>
      <c r="H38" s="858"/>
      <c r="I38" s="859"/>
      <c r="J38" s="855"/>
      <c r="K38" s="835"/>
      <c r="L38" s="856"/>
      <c r="M38" s="806"/>
      <c r="N38" s="806"/>
    </row>
    <row r="39" spans="1:14" ht="20.100000000000001" customHeight="1">
      <c r="A39" s="867"/>
      <c r="B39" s="868"/>
      <c r="C39" s="833"/>
      <c r="D39" s="834"/>
      <c r="E39" s="855"/>
      <c r="F39" s="857"/>
      <c r="G39" s="858"/>
      <c r="H39" s="858"/>
      <c r="I39" s="859"/>
      <c r="J39" s="855"/>
      <c r="K39" s="835"/>
      <c r="L39" s="856"/>
      <c r="M39" s="806"/>
      <c r="N39" s="806"/>
    </row>
    <row r="40" spans="1:14" ht="20.100000000000001" customHeight="1">
      <c r="A40" s="867"/>
      <c r="B40" s="868"/>
      <c r="C40" s="833"/>
      <c r="D40" s="834"/>
      <c r="E40" s="855"/>
      <c r="F40" s="857"/>
      <c r="G40" s="858"/>
      <c r="H40" s="858"/>
      <c r="I40" s="859"/>
      <c r="J40" s="855"/>
      <c r="K40" s="835"/>
      <c r="L40" s="856"/>
      <c r="M40" s="806"/>
      <c r="N40" s="806"/>
    </row>
    <row r="41" spans="1:14" ht="20.100000000000001" customHeight="1">
      <c r="A41" s="867"/>
      <c r="B41" s="868"/>
      <c r="C41" s="833"/>
      <c r="D41" s="834"/>
      <c r="E41" s="855"/>
      <c r="F41" s="857"/>
      <c r="G41" s="858"/>
      <c r="H41" s="858"/>
      <c r="I41" s="859"/>
      <c r="J41" s="855"/>
      <c r="K41" s="835"/>
      <c r="L41" s="856"/>
      <c r="M41" s="806"/>
      <c r="N41" s="806"/>
    </row>
    <row r="42" spans="1:14" ht="20.100000000000001" customHeight="1">
      <c r="A42" s="867"/>
      <c r="B42" s="868"/>
      <c r="C42" s="833"/>
      <c r="D42" s="834"/>
      <c r="E42" s="855"/>
      <c r="F42" s="857"/>
      <c r="G42" s="858"/>
      <c r="H42" s="858"/>
      <c r="I42" s="859"/>
      <c r="J42" s="855"/>
      <c r="K42" s="835"/>
      <c r="L42" s="856"/>
      <c r="M42" s="806"/>
      <c r="N42" s="806"/>
    </row>
    <row r="43" spans="1:14" ht="20.100000000000001" customHeight="1" thickBot="1">
      <c r="A43" s="869"/>
      <c r="B43" s="870"/>
      <c r="C43" s="836"/>
      <c r="D43" s="837"/>
      <c r="E43" s="860"/>
      <c r="F43" s="862"/>
      <c r="G43" s="863"/>
      <c r="H43" s="863"/>
      <c r="I43" s="864"/>
      <c r="J43" s="860"/>
      <c r="K43" s="838"/>
      <c r="L43" s="861"/>
      <c r="M43" s="865"/>
      <c r="N43" s="865"/>
    </row>
    <row r="44" spans="1:14" ht="18.75" customHeight="1" thickBot="1">
      <c r="A44" s="839" t="s">
        <v>0</v>
      </c>
      <c r="B44" s="840"/>
      <c r="C44" s="841"/>
      <c r="D44" s="842"/>
      <c r="E44" s="839"/>
      <c r="F44" s="843"/>
      <c r="G44" s="843"/>
      <c r="H44" s="843"/>
      <c r="I44" s="844"/>
      <c r="J44" s="845"/>
      <c r="K44" s="846"/>
      <c r="L44" s="840"/>
      <c r="M44" s="847">
        <f>SUM(M32:M43)</f>
        <v>0</v>
      </c>
      <c r="N44" s="847">
        <f>SUM(N32:N43)</f>
        <v>0</v>
      </c>
    </row>
    <row r="45" spans="1:14">
      <c r="A45" s="24" t="s">
        <v>416</v>
      </c>
    </row>
    <row r="50" spans="1:14" ht="12.75" thickBot="1"/>
    <row r="51" spans="1:14" ht="12.75" thickBot="1">
      <c r="A51" s="1775" t="s">
        <v>295</v>
      </c>
      <c r="B51" s="1776"/>
      <c r="C51" s="1777" t="s">
        <v>296</v>
      </c>
      <c r="D51" s="1777"/>
      <c r="E51" s="1778" t="s">
        <v>299</v>
      </c>
      <c r="F51" s="1779"/>
      <c r="G51" s="1779"/>
      <c r="H51" s="1779"/>
      <c r="I51" s="1780"/>
      <c r="J51" s="1777" t="s">
        <v>300</v>
      </c>
      <c r="K51" s="1777"/>
      <c r="L51" s="1776"/>
      <c r="M51" s="1692" t="s">
        <v>348</v>
      </c>
      <c r="N51" s="1773" t="s">
        <v>349</v>
      </c>
    </row>
    <row r="52" spans="1:14" ht="62.25" thickBot="1">
      <c r="A52" s="375" t="s">
        <v>98</v>
      </c>
      <c r="B52" s="74" t="s">
        <v>99</v>
      </c>
      <c r="C52" s="72" t="s">
        <v>298</v>
      </c>
      <c r="D52" s="373" t="s">
        <v>297</v>
      </c>
      <c r="E52" s="375" t="s">
        <v>303</v>
      </c>
      <c r="F52" s="376" t="s">
        <v>304</v>
      </c>
      <c r="G52" s="76" t="s">
        <v>305</v>
      </c>
      <c r="H52" s="76" t="s">
        <v>306</v>
      </c>
      <c r="I52" s="77" t="s">
        <v>21</v>
      </c>
      <c r="J52" s="375" t="s">
        <v>301</v>
      </c>
      <c r="K52" s="72" t="s">
        <v>302</v>
      </c>
      <c r="L52" s="374" t="s">
        <v>307</v>
      </c>
      <c r="M52" s="1693"/>
      <c r="N52" s="1774"/>
    </row>
    <row r="53" spans="1:14" ht="30" customHeight="1">
      <c r="A53" s="871" t="s">
        <v>1399</v>
      </c>
      <c r="B53" s="866" t="s">
        <v>1400</v>
      </c>
      <c r="C53" s="830" t="s">
        <v>1357</v>
      </c>
      <c r="D53" s="831">
        <v>43270559</v>
      </c>
      <c r="E53" s="874" t="s">
        <v>1358</v>
      </c>
      <c r="F53" s="851">
        <v>43270559</v>
      </c>
      <c r="G53" s="876" t="s">
        <v>1359</v>
      </c>
      <c r="H53" s="852">
        <v>1</v>
      </c>
      <c r="I53" s="853"/>
      <c r="J53" s="874" t="s">
        <v>1360</v>
      </c>
      <c r="K53" s="832">
        <v>9600</v>
      </c>
      <c r="L53" s="872" t="s">
        <v>1361</v>
      </c>
      <c r="M53" s="854">
        <v>115200</v>
      </c>
      <c r="N53" s="854">
        <v>76800</v>
      </c>
    </row>
    <row r="54" spans="1:14" ht="30" customHeight="1">
      <c r="A54" s="867" t="s">
        <v>1399</v>
      </c>
      <c r="B54" s="868" t="s">
        <v>1400</v>
      </c>
      <c r="C54" s="833" t="s">
        <v>1362</v>
      </c>
      <c r="D54" s="834">
        <v>49061890</v>
      </c>
      <c r="E54" s="875" t="s">
        <v>1363</v>
      </c>
      <c r="F54" s="857">
        <v>49061890</v>
      </c>
      <c r="G54" s="877" t="s">
        <v>1364</v>
      </c>
      <c r="H54" s="858">
        <v>1</v>
      </c>
      <c r="I54" s="859"/>
      <c r="J54" s="875" t="s">
        <v>1365</v>
      </c>
      <c r="K54" s="835">
        <v>12600</v>
      </c>
      <c r="L54" s="873" t="s">
        <v>1366</v>
      </c>
      <c r="M54" s="806">
        <v>151200</v>
      </c>
      <c r="N54" s="806">
        <v>100800</v>
      </c>
    </row>
    <row r="55" spans="1:14" ht="30" customHeight="1">
      <c r="A55" s="867" t="s">
        <v>1399</v>
      </c>
      <c r="B55" s="868" t="s">
        <v>1400</v>
      </c>
      <c r="C55" s="833" t="s">
        <v>1367</v>
      </c>
      <c r="D55" s="834">
        <v>11003443</v>
      </c>
      <c r="E55" s="875" t="s">
        <v>1368</v>
      </c>
      <c r="F55" s="857">
        <v>11003443</v>
      </c>
      <c r="G55" s="877" t="s">
        <v>1369</v>
      </c>
      <c r="H55" s="858"/>
      <c r="I55" s="859"/>
      <c r="J55" s="875" t="s">
        <v>1370</v>
      </c>
      <c r="K55" s="835">
        <v>2300</v>
      </c>
      <c r="L55" s="873" t="s">
        <v>1366</v>
      </c>
      <c r="M55" s="806">
        <v>28300</v>
      </c>
      <c r="N55" s="806">
        <v>18400</v>
      </c>
    </row>
    <row r="56" spans="1:14" ht="30" customHeight="1">
      <c r="A56" s="867" t="s">
        <v>1399</v>
      </c>
      <c r="B56" s="868" t="s">
        <v>1400</v>
      </c>
      <c r="C56" s="833" t="s">
        <v>1371</v>
      </c>
      <c r="D56" s="834" t="s">
        <v>1372</v>
      </c>
      <c r="E56" s="875" t="s">
        <v>1373</v>
      </c>
      <c r="F56" s="857" t="s">
        <v>1372</v>
      </c>
      <c r="G56" s="877" t="s">
        <v>1374</v>
      </c>
      <c r="H56" s="858"/>
      <c r="I56" s="859"/>
      <c r="J56" s="875" t="s">
        <v>1375</v>
      </c>
      <c r="K56" s="835">
        <v>1600</v>
      </c>
      <c r="L56" s="873" t="s">
        <v>1366</v>
      </c>
      <c r="M56" s="806">
        <v>20800</v>
      </c>
      <c r="N56" s="806">
        <v>12800</v>
      </c>
    </row>
    <row r="57" spans="1:14" ht="30" customHeight="1">
      <c r="A57" s="867" t="s">
        <v>1399</v>
      </c>
      <c r="B57" s="868" t="s">
        <v>1400</v>
      </c>
      <c r="C57" s="833" t="s">
        <v>1376</v>
      </c>
      <c r="D57" s="834">
        <v>1088158</v>
      </c>
      <c r="E57" s="875" t="s">
        <v>1377</v>
      </c>
      <c r="F57" s="857">
        <v>1088158</v>
      </c>
      <c r="G57" s="877" t="s">
        <v>1378</v>
      </c>
      <c r="H57" s="858"/>
      <c r="I57" s="859"/>
      <c r="J57" s="875" t="s">
        <v>1379</v>
      </c>
      <c r="K57" s="835">
        <v>6500</v>
      </c>
      <c r="L57" s="873" t="s">
        <v>1366</v>
      </c>
      <c r="M57" s="806">
        <v>78000</v>
      </c>
      <c r="N57" s="806">
        <v>52000</v>
      </c>
    </row>
    <row r="58" spans="1:14" ht="30" customHeight="1">
      <c r="A58" s="867" t="s">
        <v>1399</v>
      </c>
      <c r="B58" s="868" t="s">
        <v>1400</v>
      </c>
      <c r="C58" s="833" t="s">
        <v>1380</v>
      </c>
      <c r="D58" s="834">
        <v>11126643</v>
      </c>
      <c r="E58" s="875" t="s">
        <v>1381</v>
      </c>
      <c r="F58" s="857">
        <v>11126643</v>
      </c>
      <c r="G58" s="877" t="s">
        <v>1382</v>
      </c>
      <c r="H58" s="858"/>
      <c r="I58" s="859"/>
      <c r="J58" s="875" t="s">
        <v>1383</v>
      </c>
      <c r="K58" s="835">
        <v>1800</v>
      </c>
      <c r="L58" s="873" t="s">
        <v>1366</v>
      </c>
      <c r="M58" s="806">
        <v>25200</v>
      </c>
      <c r="N58" s="806">
        <v>12600</v>
      </c>
    </row>
    <row r="59" spans="1:14" ht="30" customHeight="1">
      <c r="A59" s="867" t="s">
        <v>1399</v>
      </c>
      <c r="B59" s="868" t="s">
        <v>1400</v>
      </c>
      <c r="C59" s="833" t="s">
        <v>1384</v>
      </c>
      <c r="D59" s="834">
        <v>11189978</v>
      </c>
      <c r="E59" s="875" t="s">
        <v>1385</v>
      </c>
      <c r="F59" s="857">
        <v>11189978</v>
      </c>
      <c r="G59" s="877" t="s">
        <v>1386</v>
      </c>
      <c r="H59" s="858"/>
      <c r="I59" s="859"/>
      <c r="J59" s="875" t="s">
        <v>1387</v>
      </c>
      <c r="K59" s="835">
        <v>1700</v>
      </c>
      <c r="L59" s="873" t="s">
        <v>1366</v>
      </c>
      <c r="M59" s="806">
        <v>18900</v>
      </c>
      <c r="N59" s="806">
        <v>15300</v>
      </c>
    </row>
    <row r="60" spans="1:14" ht="30" customHeight="1">
      <c r="A60" s="867" t="s">
        <v>1399</v>
      </c>
      <c r="B60" s="868" t="s">
        <v>1400</v>
      </c>
      <c r="C60" s="833" t="s">
        <v>1388</v>
      </c>
      <c r="D60" s="834">
        <v>11106325</v>
      </c>
      <c r="E60" s="875" t="s">
        <v>1389</v>
      </c>
      <c r="F60" s="857">
        <v>11106325</v>
      </c>
      <c r="G60" s="877" t="s">
        <v>1382</v>
      </c>
      <c r="H60" s="858"/>
      <c r="I60" s="859"/>
      <c r="J60" s="875" t="s">
        <v>1390</v>
      </c>
      <c r="K60" s="835">
        <v>2400</v>
      </c>
      <c r="L60" s="873" t="s">
        <v>1366</v>
      </c>
      <c r="M60" s="806">
        <v>30200</v>
      </c>
      <c r="N60" s="806">
        <v>24000</v>
      </c>
    </row>
    <row r="61" spans="1:14" ht="30" customHeight="1">
      <c r="A61" s="867" t="s">
        <v>1399</v>
      </c>
      <c r="B61" s="868" t="s">
        <v>1400</v>
      </c>
      <c r="C61" s="833" t="s">
        <v>1391</v>
      </c>
      <c r="D61" s="834">
        <v>11000375</v>
      </c>
      <c r="E61" s="875" t="s">
        <v>1392</v>
      </c>
      <c r="F61" s="857">
        <v>11000375</v>
      </c>
      <c r="G61" s="877" t="s">
        <v>1393</v>
      </c>
      <c r="H61" s="858"/>
      <c r="I61" s="859"/>
      <c r="J61" s="875" t="s">
        <v>1394</v>
      </c>
      <c r="K61" s="835">
        <v>2400</v>
      </c>
      <c r="L61" s="873" t="s">
        <v>1366</v>
      </c>
      <c r="M61" s="806">
        <v>28250</v>
      </c>
      <c r="N61" s="806">
        <v>20750</v>
      </c>
    </row>
    <row r="62" spans="1:14" ht="30" customHeight="1" thickBot="1">
      <c r="A62" s="869" t="s">
        <v>1399</v>
      </c>
      <c r="B62" s="868" t="s">
        <v>1400</v>
      </c>
      <c r="C62" s="833" t="s">
        <v>1395</v>
      </c>
      <c r="D62" s="834">
        <v>7001171</v>
      </c>
      <c r="E62" s="875" t="s">
        <v>1396</v>
      </c>
      <c r="F62" s="857">
        <v>7001171</v>
      </c>
      <c r="G62" s="877" t="s">
        <v>1397</v>
      </c>
      <c r="H62" s="858"/>
      <c r="I62" s="859"/>
      <c r="J62" s="875" t="s">
        <v>1398</v>
      </c>
      <c r="K62" s="835">
        <v>2000</v>
      </c>
      <c r="L62" s="873" t="s">
        <v>1366</v>
      </c>
      <c r="M62" s="806">
        <v>25200</v>
      </c>
      <c r="N62" s="806">
        <v>16000</v>
      </c>
    </row>
    <row r="63" spans="1:14" ht="16.5" customHeight="1" thickBot="1">
      <c r="A63" s="839" t="s">
        <v>0</v>
      </c>
      <c r="B63" s="840"/>
      <c r="C63" s="841"/>
      <c r="D63" s="842"/>
      <c r="E63" s="839"/>
      <c r="F63" s="843"/>
      <c r="G63" s="843"/>
      <c r="H63" s="843"/>
      <c r="I63" s="844"/>
      <c r="J63" s="845"/>
      <c r="K63" s="846"/>
      <c r="L63" s="840"/>
      <c r="M63" s="847">
        <f>SUM(M53:M62)</f>
        <v>521250</v>
      </c>
      <c r="N63" s="847">
        <f>SUM(N53:N62)</f>
        <v>349450</v>
      </c>
    </row>
    <row r="64" spans="1:14">
      <c r="A64" s="24" t="s">
        <v>416</v>
      </c>
    </row>
  </sheetData>
  <mergeCells count="18">
    <mergeCell ref="M4:M5"/>
    <mergeCell ref="N4:N5"/>
    <mergeCell ref="C4:D4"/>
    <mergeCell ref="A4:B4"/>
    <mergeCell ref="J4:L4"/>
    <mergeCell ref="E4:I4"/>
    <mergeCell ref="N30:N31"/>
    <mergeCell ref="A51:B51"/>
    <mergeCell ref="C51:D51"/>
    <mergeCell ref="E51:I51"/>
    <mergeCell ref="J51:L51"/>
    <mergeCell ref="M51:M52"/>
    <mergeCell ref="N51:N52"/>
    <mergeCell ref="A30:B30"/>
    <mergeCell ref="C30:D30"/>
    <mergeCell ref="E30:I30"/>
    <mergeCell ref="J30:L30"/>
    <mergeCell ref="M30:M31"/>
  </mergeCells>
  <printOptions horizontalCentered="1"/>
  <pageMargins left="0.23622047244094491" right="0.23622047244094491" top="0.94488188976377963" bottom="0.74803149606299213" header="0.51181102362204722" footer="0.31496062992125984"/>
  <pageSetup paperSize="9" scale="55" orientation="landscape" r:id="rId1"/>
  <headerFooter alignWithMargins="0">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rowBreaks count="2" manualBreakCount="2">
    <brk id="28" max="16383" man="1"/>
    <brk id="49"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CEBDA-7846-4B1B-9467-574DB40887E2}">
  <sheetPr>
    <tabColor theme="8" tint="-0.249977111117893"/>
  </sheetPr>
  <dimension ref="A1:O58"/>
  <sheetViews>
    <sheetView showGridLines="0" view="pageBreakPreview" topLeftCell="A40" zoomScale="80" zoomScaleNormal="80" zoomScaleSheetLayoutView="80" workbookViewId="0">
      <selection activeCell="D34" sqref="D34"/>
    </sheetView>
  </sheetViews>
  <sheetFormatPr baseColWidth="10" defaultColWidth="2" defaultRowHeight="11.25"/>
  <cols>
    <col min="1" max="1" width="21.28515625" style="459" customWidth="1"/>
    <col min="2" max="2" width="15" style="459" customWidth="1"/>
    <col min="3" max="3" width="18.28515625" style="459" customWidth="1"/>
    <col min="4" max="4" width="16.5703125" style="459" customWidth="1"/>
    <col min="5" max="5" width="9" style="459" customWidth="1"/>
    <col min="6" max="6" width="8" style="459" customWidth="1"/>
    <col min="7" max="7" width="14.28515625" style="459" customWidth="1"/>
    <col min="8" max="8" width="17.42578125" style="459" customWidth="1"/>
    <col min="9" max="9" width="7.140625" style="459" customWidth="1"/>
    <col min="10" max="10" width="8.7109375" style="459" customWidth="1"/>
    <col min="11" max="11" width="6.85546875" style="459" customWidth="1"/>
    <col min="12" max="12" width="9.7109375" style="459" customWidth="1"/>
    <col min="13" max="13" width="7" style="459" customWidth="1"/>
    <col min="14" max="14" width="8.7109375" style="459" customWidth="1"/>
    <col min="15" max="15" width="7" style="459" customWidth="1"/>
    <col min="16" max="16" width="8.7109375" style="459" customWidth="1"/>
    <col min="17" max="16384" width="2" style="459"/>
  </cols>
  <sheetData>
    <row r="1" spans="1:15" s="482" customFormat="1" ht="12.75">
      <c r="A1" s="336" t="s">
        <v>908</v>
      </c>
      <c r="B1" s="501"/>
      <c r="C1" s="336"/>
    </row>
    <row r="2" spans="1:15" s="482" customFormat="1">
      <c r="A2" s="400" t="s">
        <v>438</v>
      </c>
      <c r="B2" s="400"/>
      <c r="C2" s="400"/>
    </row>
    <row r="3" spans="1:15" s="482" customFormat="1" ht="12" thickBot="1">
      <c r="A3" s="400"/>
      <c r="B3" s="400"/>
      <c r="C3" s="400"/>
    </row>
    <row r="4" spans="1:15" s="498" customFormat="1" ht="22.5" customHeight="1">
      <c r="A4" s="1637" t="s">
        <v>813</v>
      </c>
      <c r="B4" s="1637" t="s">
        <v>812</v>
      </c>
      <c r="C4" s="1637" t="s">
        <v>811</v>
      </c>
      <c r="D4" s="1635" t="s">
        <v>810</v>
      </c>
      <c r="E4" s="1635" t="s">
        <v>809</v>
      </c>
      <c r="F4" s="1635" t="s">
        <v>808</v>
      </c>
      <c r="G4" s="1635" t="s">
        <v>807</v>
      </c>
      <c r="H4" s="1635" t="s">
        <v>806</v>
      </c>
      <c r="I4" s="1633">
        <v>2018</v>
      </c>
      <c r="J4" s="1634"/>
      <c r="K4" s="1633">
        <v>2019</v>
      </c>
      <c r="L4" s="1634"/>
      <c r="M4" s="1633">
        <v>2020</v>
      </c>
      <c r="N4" s="1634"/>
      <c r="O4" s="500">
        <v>2021</v>
      </c>
    </row>
    <row r="5" spans="1:15" s="498" customFormat="1" ht="22.5">
      <c r="A5" s="1638"/>
      <c r="B5" s="1638"/>
      <c r="C5" s="1638"/>
      <c r="D5" s="1636"/>
      <c r="E5" s="1636"/>
      <c r="F5" s="1636"/>
      <c r="G5" s="1636"/>
      <c r="H5" s="1636"/>
      <c r="I5" s="467" t="s">
        <v>803</v>
      </c>
      <c r="J5" s="467" t="s">
        <v>805</v>
      </c>
      <c r="K5" s="467" t="s">
        <v>803</v>
      </c>
      <c r="L5" s="467" t="s">
        <v>804</v>
      </c>
      <c r="M5" s="467" t="s">
        <v>803</v>
      </c>
      <c r="N5" s="467" t="s">
        <v>4879</v>
      </c>
      <c r="O5" s="499" t="s">
        <v>803</v>
      </c>
    </row>
    <row r="6" spans="1:15" s="483" customFormat="1" ht="95.25" customHeight="1">
      <c r="A6" s="1647" t="s">
        <v>907</v>
      </c>
      <c r="B6" s="1644" t="s">
        <v>906</v>
      </c>
      <c r="C6" s="1641" t="s">
        <v>905</v>
      </c>
      <c r="D6" s="463" t="s">
        <v>904</v>
      </c>
      <c r="E6" s="463" t="s">
        <v>903</v>
      </c>
      <c r="F6" s="497" t="s">
        <v>897</v>
      </c>
      <c r="G6" s="463" t="s">
        <v>902</v>
      </c>
      <c r="H6" s="463" t="s">
        <v>901</v>
      </c>
      <c r="I6" s="463" t="s">
        <v>850</v>
      </c>
      <c r="J6" s="463" t="s">
        <v>900</v>
      </c>
      <c r="K6" s="463" t="s">
        <v>850</v>
      </c>
      <c r="L6" s="463" t="s">
        <v>850</v>
      </c>
      <c r="M6" s="463" t="s">
        <v>899</v>
      </c>
      <c r="N6" s="497" t="s">
        <v>898</v>
      </c>
      <c r="O6" s="496" t="s">
        <v>897</v>
      </c>
    </row>
    <row r="7" spans="1:15" s="483" customFormat="1" ht="91.5" customHeight="1">
      <c r="A7" s="1648"/>
      <c r="B7" s="1645"/>
      <c r="C7" s="1642"/>
      <c r="D7" s="463" t="s">
        <v>896</v>
      </c>
      <c r="E7" s="463" t="s">
        <v>850</v>
      </c>
      <c r="F7" s="463" t="s">
        <v>892</v>
      </c>
      <c r="G7" s="463" t="s">
        <v>895</v>
      </c>
      <c r="H7" s="463" t="s">
        <v>878</v>
      </c>
      <c r="I7" s="463" t="s">
        <v>850</v>
      </c>
      <c r="J7" s="463" t="s">
        <v>850</v>
      </c>
      <c r="K7" s="463" t="s">
        <v>850</v>
      </c>
      <c r="L7" s="463" t="s">
        <v>850</v>
      </c>
      <c r="M7" s="463" t="s">
        <v>894</v>
      </c>
      <c r="N7" s="463" t="s">
        <v>893</v>
      </c>
      <c r="O7" s="487" t="s">
        <v>892</v>
      </c>
    </row>
    <row r="8" spans="1:15" s="483" customFormat="1" ht="76.5" customHeight="1">
      <c r="A8" s="1648"/>
      <c r="B8" s="1646"/>
      <c r="C8" s="1640"/>
      <c r="D8" s="463" t="s">
        <v>891</v>
      </c>
      <c r="E8" s="495" t="s">
        <v>890</v>
      </c>
      <c r="F8" s="495" t="s">
        <v>884</v>
      </c>
      <c r="G8" s="463" t="s">
        <v>889</v>
      </c>
      <c r="H8" s="463" t="s">
        <v>888</v>
      </c>
      <c r="I8" s="463" t="s">
        <v>850</v>
      </c>
      <c r="J8" s="495" t="s">
        <v>887</v>
      </c>
      <c r="K8" s="463" t="s">
        <v>850</v>
      </c>
      <c r="L8" s="463" t="s">
        <v>850</v>
      </c>
      <c r="M8" s="463" t="s">
        <v>886</v>
      </c>
      <c r="N8" s="463" t="s">
        <v>885</v>
      </c>
      <c r="O8" s="494" t="s">
        <v>884</v>
      </c>
    </row>
    <row r="9" spans="1:15" s="483" customFormat="1" ht="108" customHeight="1">
      <c r="A9" s="1648"/>
      <c r="B9" s="1576" t="s">
        <v>883</v>
      </c>
      <c r="C9" s="1576" t="s">
        <v>882</v>
      </c>
      <c r="D9" s="462" t="s">
        <v>881</v>
      </c>
      <c r="E9" s="492" t="s">
        <v>880</v>
      </c>
      <c r="F9" s="491">
        <v>0.05</v>
      </c>
      <c r="G9" s="463" t="s">
        <v>879</v>
      </c>
      <c r="H9" s="463" t="s">
        <v>878</v>
      </c>
      <c r="I9" s="491">
        <v>0.05</v>
      </c>
      <c r="J9" s="493">
        <v>4.7E-2</v>
      </c>
      <c r="K9" s="491">
        <v>0.05</v>
      </c>
      <c r="L9" s="493">
        <v>5.1999999999999998E-2</v>
      </c>
      <c r="M9" s="491">
        <v>0.05</v>
      </c>
      <c r="N9" s="492">
        <v>4.99E-2</v>
      </c>
      <c r="O9" s="490">
        <v>0.05</v>
      </c>
    </row>
    <row r="10" spans="1:15" s="483" customFormat="1" ht="101.25" customHeight="1">
      <c r="A10" s="1648"/>
      <c r="B10" s="1575" t="s">
        <v>877</v>
      </c>
      <c r="C10" s="1575" t="s">
        <v>876</v>
      </c>
      <c r="D10" s="512" t="s">
        <v>875</v>
      </c>
      <c r="E10" s="513" t="s">
        <v>874</v>
      </c>
      <c r="F10" s="514">
        <v>1</v>
      </c>
      <c r="G10" s="513" t="s">
        <v>873</v>
      </c>
      <c r="H10" s="513" t="s">
        <v>872</v>
      </c>
      <c r="I10" s="513" t="s">
        <v>850</v>
      </c>
      <c r="J10" s="513" t="s">
        <v>850</v>
      </c>
      <c r="K10" s="513" t="s">
        <v>850</v>
      </c>
      <c r="L10" s="513" t="s">
        <v>850</v>
      </c>
      <c r="M10" s="514">
        <v>1</v>
      </c>
      <c r="N10" s="514">
        <v>0.1</v>
      </c>
      <c r="O10" s="515">
        <v>1</v>
      </c>
    </row>
    <row r="11" spans="1:15" s="483" customFormat="1" ht="12" thickBot="1">
      <c r="A11" s="1649"/>
      <c r="B11" s="521"/>
      <c r="C11" s="522"/>
      <c r="D11" s="522"/>
      <c r="E11" s="522"/>
      <c r="F11" s="522"/>
      <c r="G11" s="522"/>
      <c r="H11" s="522"/>
      <c r="I11" s="522"/>
      <c r="J11" s="522"/>
      <c r="K11" s="522"/>
      <c r="L11" s="522"/>
      <c r="M11" s="522"/>
      <c r="N11" s="522"/>
      <c r="O11" s="523"/>
    </row>
    <row r="12" spans="1:15" s="483" customFormat="1">
      <c r="A12" s="518"/>
      <c r="B12" s="507"/>
      <c r="C12" s="508"/>
      <c r="D12" s="508"/>
      <c r="E12" s="508"/>
      <c r="F12" s="509"/>
      <c r="G12" s="508"/>
      <c r="H12" s="508"/>
      <c r="I12" s="509"/>
      <c r="J12" s="510"/>
      <c r="K12" s="509"/>
      <c r="L12" s="511"/>
      <c r="M12" s="509"/>
      <c r="N12" s="511"/>
      <c r="O12" s="509"/>
    </row>
    <row r="13" spans="1:15" s="483" customFormat="1" ht="12" thickBot="1">
      <c r="A13" s="518"/>
      <c r="B13" s="507"/>
      <c r="C13" s="508"/>
      <c r="D13" s="508"/>
      <c r="E13" s="508"/>
      <c r="F13" s="509"/>
      <c r="G13" s="508"/>
      <c r="H13" s="508"/>
      <c r="I13" s="509"/>
      <c r="J13" s="510"/>
      <c r="K13" s="509"/>
      <c r="L13" s="511"/>
      <c r="M13" s="509"/>
      <c r="N13" s="511"/>
      <c r="O13" s="509"/>
    </row>
    <row r="14" spans="1:15" s="483" customFormat="1" ht="11.25" customHeight="1">
      <c r="A14" s="1637" t="s">
        <v>813</v>
      </c>
      <c r="B14" s="1637" t="s">
        <v>812</v>
      </c>
      <c r="C14" s="1637" t="s">
        <v>811</v>
      </c>
      <c r="D14" s="1635" t="s">
        <v>810</v>
      </c>
      <c r="E14" s="1635" t="s">
        <v>809</v>
      </c>
      <c r="F14" s="1635" t="s">
        <v>808</v>
      </c>
      <c r="G14" s="1635" t="s">
        <v>807</v>
      </c>
      <c r="H14" s="1635" t="s">
        <v>806</v>
      </c>
      <c r="I14" s="1633">
        <v>2018</v>
      </c>
      <c r="J14" s="1634"/>
      <c r="K14" s="1633">
        <v>2019</v>
      </c>
      <c r="L14" s="1634"/>
      <c r="M14" s="1633">
        <v>2020</v>
      </c>
      <c r="N14" s="1634"/>
      <c r="O14" s="500">
        <v>2021</v>
      </c>
    </row>
    <row r="15" spans="1:15" s="483" customFormat="1" ht="22.5">
      <c r="A15" s="1638"/>
      <c r="B15" s="1638"/>
      <c r="C15" s="1638"/>
      <c r="D15" s="1636"/>
      <c r="E15" s="1636"/>
      <c r="F15" s="1636"/>
      <c r="G15" s="1636"/>
      <c r="H15" s="1636"/>
      <c r="I15" s="467" t="s">
        <v>803</v>
      </c>
      <c r="J15" s="467" t="s">
        <v>805</v>
      </c>
      <c r="K15" s="467" t="s">
        <v>803</v>
      </c>
      <c r="L15" s="467" t="s">
        <v>804</v>
      </c>
      <c r="M15" s="467" t="s">
        <v>803</v>
      </c>
      <c r="N15" s="1564" t="s">
        <v>4879</v>
      </c>
      <c r="O15" s="499" t="s">
        <v>803</v>
      </c>
    </row>
    <row r="16" spans="1:15" s="483" customFormat="1" ht="89.25" customHeight="1">
      <c r="A16" s="1647" t="s">
        <v>907</v>
      </c>
      <c r="B16" s="506" t="s">
        <v>871</v>
      </c>
      <c r="C16" s="506" t="s">
        <v>870</v>
      </c>
      <c r="D16" s="462" t="s">
        <v>869</v>
      </c>
      <c r="E16" s="463" t="s">
        <v>868</v>
      </c>
      <c r="F16" s="491">
        <v>0.91</v>
      </c>
      <c r="G16" s="463" t="s">
        <v>867</v>
      </c>
      <c r="H16" s="463" t="s">
        <v>866</v>
      </c>
      <c r="I16" s="491">
        <v>0.61</v>
      </c>
      <c r="J16" s="493">
        <v>0.92200000000000004</v>
      </c>
      <c r="K16" s="491">
        <v>0.64</v>
      </c>
      <c r="L16" s="492">
        <v>0.52939999999999998</v>
      </c>
      <c r="M16" s="491">
        <v>0.9</v>
      </c>
      <c r="N16" s="492">
        <v>0.70150000000000001</v>
      </c>
      <c r="O16" s="490">
        <v>0.91</v>
      </c>
    </row>
    <row r="17" spans="1:15" s="483" customFormat="1" ht="90" customHeight="1">
      <c r="A17" s="1648"/>
      <c r="B17" s="489" t="s">
        <v>855</v>
      </c>
      <c r="C17" s="488" t="s">
        <v>865</v>
      </c>
      <c r="D17" s="463" t="s">
        <v>864</v>
      </c>
      <c r="E17" s="463" t="s">
        <v>863</v>
      </c>
      <c r="F17" s="491">
        <v>0.9</v>
      </c>
      <c r="G17" s="463" t="s">
        <v>862</v>
      </c>
      <c r="H17" s="463" t="s">
        <v>861</v>
      </c>
      <c r="I17" s="491">
        <v>0.9</v>
      </c>
      <c r="J17" s="491">
        <v>1</v>
      </c>
      <c r="K17" s="491">
        <v>0.9</v>
      </c>
      <c r="L17" s="492">
        <v>0.85699999999999998</v>
      </c>
      <c r="M17" s="491">
        <v>0.9</v>
      </c>
      <c r="N17" s="491">
        <v>0</v>
      </c>
      <c r="O17" s="490">
        <v>0.9</v>
      </c>
    </row>
    <row r="18" spans="1:15" s="483" customFormat="1" ht="87" customHeight="1">
      <c r="A18" s="1648"/>
      <c r="B18" s="489" t="s">
        <v>855</v>
      </c>
      <c r="C18" s="488" t="s">
        <v>860</v>
      </c>
      <c r="D18" s="463" t="s">
        <v>859</v>
      </c>
      <c r="E18" s="463" t="s">
        <v>858</v>
      </c>
      <c r="F18" s="463"/>
      <c r="G18" s="463" t="s">
        <v>857</v>
      </c>
      <c r="H18" s="463" t="s">
        <v>856</v>
      </c>
      <c r="I18" s="463" t="s">
        <v>850</v>
      </c>
      <c r="J18" s="463" t="s">
        <v>850</v>
      </c>
      <c r="K18" s="463" t="s">
        <v>850</v>
      </c>
      <c r="L18" s="463">
        <v>1.1599999999999999</v>
      </c>
      <c r="M18" s="463">
        <v>1.18</v>
      </c>
      <c r="N18" s="463">
        <v>1.47</v>
      </c>
      <c r="O18" s="487">
        <v>1.2</v>
      </c>
    </row>
    <row r="19" spans="1:15" s="483" customFormat="1" ht="96" customHeight="1" thickBot="1">
      <c r="A19" s="1649"/>
      <c r="B19" s="486" t="s">
        <v>855</v>
      </c>
      <c r="C19" s="477" t="s">
        <v>854</v>
      </c>
      <c r="D19" s="476" t="s">
        <v>853</v>
      </c>
      <c r="E19" s="476" t="s">
        <v>850</v>
      </c>
      <c r="F19" s="485">
        <v>0.9</v>
      </c>
      <c r="G19" s="476" t="s">
        <v>852</v>
      </c>
      <c r="H19" s="476" t="s">
        <v>851</v>
      </c>
      <c r="I19" s="476" t="s">
        <v>850</v>
      </c>
      <c r="J19" s="476" t="s">
        <v>850</v>
      </c>
      <c r="K19" s="476" t="s">
        <v>850</v>
      </c>
      <c r="L19" s="476" t="s">
        <v>850</v>
      </c>
      <c r="M19" s="485">
        <v>0.6</v>
      </c>
      <c r="N19" s="485">
        <v>0.6</v>
      </c>
      <c r="O19" s="484">
        <v>0.9</v>
      </c>
    </row>
    <row r="24" spans="1:15" ht="12" thickBot="1">
      <c r="A24" s="336"/>
      <c r="B24" s="400"/>
      <c r="C24" s="400"/>
      <c r="D24" s="482"/>
      <c r="E24" s="482"/>
      <c r="F24" s="482"/>
      <c r="G24" s="482"/>
      <c r="H24" s="482"/>
      <c r="I24" s="482"/>
      <c r="J24" s="482"/>
      <c r="K24" s="482"/>
      <c r="L24" s="482"/>
      <c r="M24" s="482"/>
    </row>
    <row r="25" spans="1:15">
      <c r="A25" s="1637" t="s">
        <v>813</v>
      </c>
      <c r="B25" s="1637" t="s">
        <v>812</v>
      </c>
      <c r="C25" s="1637" t="s">
        <v>811</v>
      </c>
      <c r="D25" s="1635" t="s">
        <v>810</v>
      </c>
      <c r="E25" s="1635" t="s">
        <v>809</v>
      </c>
      <c r="F25" s="1635" t="s">
        <v>808</v>
      </c>
      <c r="G25" s="1635" t="s">
        <v>807</v>
      </c>
      <c r="H25" s="1635" t="s">
        <v>806</v>
      </c>
      <c r="I25" s="1633">
        <v>2018</v>
      </c>
      <c r="J25" s="1634"/>
      <c r="K25" s="1633">
        <v>2019</v>
      </c>
      <c r="L25" s="1634"/>
      <c r="M25" s="468">
        <v>2020</v>
      </c>
      <c r="N25" s="500">
        <v>2021</v>
      </c>
    </row>
    <row r="26" spans="1:15" ht="23.25" thickBot="1">
      <c r="A26" s="1638"/>
      <c r="B26" s="1638"/>
      <c r="C26" s="1638"/>
      <c r="D26" s="1636"/>
      <c r="E26" s="1636"/>
      <c r="F26" s="1636"/>
      <c r="G26" s="1636"/>
      <c r="H26" s="1636"/>
      <c r="I26" s="467" t="s">
        <v>803</v>
      </c>
      <c r="J26" s="467" t="s">
        <v>805</v>
      </c>
      <c r="K26" s="467" t="s">
        <v>803</v>
      </c>
      <c r="L26" s="467" t="s">
        <v>804</v>
      </c>
      <c r="M26" s="467" t="s">
        <v>803</v>
      </c>
      <c r="N26" s="499" t="s">
        <v>803</v>
      </c>
    </row>
    <row r="27" spans="1:15" ht="40.5" customHeight="1">
      <c r="A27" s="1655" t="s">
        <v>849</v>
      </c>
      <c r="B27" s="1630" t="s">
        <v>848</v>
      </c>
      <c r="C27" s="1639" t="s">
        <v>847</v>
      </c>
      <c r="D27" s="479" t="s">
        <v>846</v>
      </c>
      <c r="E27" s="479">
        <v>12</v>
      </c>
      <c r="F27" s="479">
        <v>12</v>
      </c>
      <c r="G27" s="479" t="s">
        <v>815</v>
      </c>
      <c r="H27" s="479" t="s">
        <v>815</v>
      </c>
      <c r="I27" s="479">
        <v>8</v>
      </c>
      <c r="J27" s="479">
        <v>12</v>
      </c>
      <c r="K27" s="479">
        <v>11</v>
      </c>
      <c r="L27" s="479">
        <v>12</v>
      </c>
      <c r="M27" s="479" t="s">
        <v>814</v>
      </c>
      <c r="N27" s="478">
        <v>12</v>
      </c>
    </row>
    <row r="28" spans="1:15" ht="45.75" customHeight="1">
      <c r="A28" s="1650"/>
      <c r="B28" s="1631"/>
      <c r="C28" s="1640"/>
      <c r="D28" s="462" t="s">
        <v>845</v>
      </c>
      <c r="E28" s="462">
        <v>33</v>
      </c>
      <c r="F28" s="462">
        <v>119</v>
      </c>
      <c r="G28" s="462" t="s">
        <v>815</v>
      </c>
      <c r="H28" s="462" t="s">
        <v>815</v>
      </c>
      <c r="I28" s="462">
        <v>35</v>
      </c>
      <c r="J28" s="462">
        <v>13</v>
      </c>
      <c r="K28" s="462">
        <v>35</v>
      </c>
      <c r="L28" s="462">
        <v>9</v>
      </c>
      <c r="M28" s="462" t="s">
        <v>814</v>
      </c>
      <c r="N28" s="480">
        <v>33</v>
      </c>
    </row>
    <row r="29" spans="1:15" ht="72" customHeight="1">
      <c r="A29" s="1650"/>
      <c r="B29" s="1631"/>
      <c r="C29" s="506" t="s">
        <v>844</v>
      </c>
      <c r="D29" s="462" t="s">
        <v>843</v>
      </c>
      <c r="E29" s="462">
        <v>0</v>
      </c>
      <c r="F29" s="462">
        <v>3</v>
      </c>
      <c r="G29" s="462" t="s">
        <v>815</v>
      </c>
      <c r="H29" s="462" t="s">
        <v>815</v>
      </c>
      <c r="I29" s="462">
        <v>1</v>
      </c>
      <c r="J29" s="462">
        <v>2</v>
      </c>
      <c r="K29" s="462">
        <v>1</v>
      </c>
      <c r="L29" s="462">
        <v>1</v>
      </c>
      <c r="M29" s="462" t="s">
        <v>814</v>
      </c>
      <c r="N29" s="480">
        <v>3</v>
      </c>
    </row>
    <row r="30" spans="1:15" ht="33.75">
      <c r="A30" s="1650"/>
      <c r="B30" s="1631"/>
      <c r="C30" s="1641" t="s">
        <v>842</v>
      </c>
      <c r="D30" s="462" t="s">
        <v>841</v>
      </c>
      <c r="E30" s="462">
        <v>12</v>
      </c>
      <c r="F30" s="462">
        <v>12</v>
      </c>
      <c r="G30" s="462" t="s">
        <v>815</v>
      </c>
      <c r="H30" s="462" t="s">
        <v>815</v>
      </c>
      <c r="I30" s="462" t="s">
        <v>814</v>
      </c>
      <c r="J30" s="462" t="s">
        <v>814</v>
      </c>
      <c r="K30" s="462" t="s">
        <v>814</v>
      </c>
      <c r="L30" s="462" t="s">
        <v>814</v>
      </c>
      <c r="M30" s="462">
        <v>12</v>
      </c>
      <c r="N30" s="480">
        <v>12</v>
      </c>
    </row>
    <row r="31" spans="1:15" ht="73.5" customHeight="1">
      <c r="A31" s="1650"/>
      <c r="B31" s="1631"/>
      <c r="C31" s="1640"/>
      <c r="D31" s="462" t="s">
        <v>840</v>
      </c>
      <c r="E31" s="462">
        <v>8</v>
      </c>
      <c r="F31" s="462">
        <v>20</v>
      </c>
      <c r="G31" s="462" t="s">
        <v>815</v>
      </c>
      <c r="H31" s="462" t="s">
        <v>815</v>
      </c>
      <c r="I31" s="462" t="s">
        <v>814</v>
      </c>
      <c r="J31" s="462" t="s">
        <v>814</v>
      </c>
      <c r="K31" s="462" t="s">
        <v>814</v>
      </c>
      <c r="L31" s="462" t="s">
        <v>814</v>
      </c>
      <c r="M31" s="462">
        <v>16</v>
      </c>
      <c r="N31" s="480">
        <v>20</v>
      </c>
    </row>
    <row r="32" spans="1:15" ht="109.5" customHeight="1" thickBot="1">
      <c r="A32" s="1650"/>
      <c r="B32" s="1632"/>
      <c r="C32" s="503" t="s">
        <v>839</v>
      </c>
      <c r="D32" s="471" t="s">
        <v>838</v>
      </c>
      <c r="E32" s="471">
        <v>2</v>
      </c>
      <c r="F32" s="471">
        <v>3</v>
      </c>
      <c r="G32" s="471" t="s">
        <v>815</v>
      </c>
      <c r="H32" s="471" t="s">
        <v>815</v>
      </c>
      <c r="I32" s="471" t="s">
        <v>814</v>
      </c>
      <c r="J32" s="471" t="s">
        <v>814</v>
      </c>
      <c r="K32" s="471" t="s">
        <v>814</v>
      </c>
      <c r="L32" s="471" t="s">
        <v>814</v>
      </c>
      <c r="M32" s="471">
        <v>2</v>
      </c>
      <c r="N32" s="475">
        <v>3</v>
      </c>
    </row>
    <row r="33" spans="1:14" ht="56.25">
      <c r="A33" s="1650"/>
      <c r="B33" s="516" t="s">
        <v>837</v>
      </c>
      <c r="C33" s="1639" t="s">
        <v>836</v>
      </c>
      <c r="D33" s="479" t="s">
        <v>835</v>
      </c>
      <c r="E33" s="479">
        <v>0</v>
      </c>
      <c r="F33" s="481">
        <v>0.95</v>
      </c>
      <c r="G33" s="479" t="s">
        <v>815</v>
      </c>
      <c r="H33" s="479" t="s">
        <v>815</v>
      </c>
      <c r="I33" s="481">
        <v>0.95</v>
      </c>
      <c r="J33" s="481">
        <v>1</v>
      </c>
      <c r="K33" s="481">
        <v>0.95</v>
      </c>
      <c r="L33" s="481">
        <v>1</v>
      </c>
      <c r="M33" s="479" t="s">
        <v>814</v>
      </c>
      <c r="N33" s="1574">
        <v>0.95</v>
      </c>
    </row>
    <row r="34" spans="1:14" ht="67.5">
      <c r="A34" s="1650"/>
      <c r="B34" s="517"/>
      <c r="C34" s="1642"/>
      <c r="D34" s="1577" t="s">
        <v>834</v>
      </c>
      <c r="E34" s="462">
        <v>410</v>
      </c>
      <c r="F34" s="462">
        <v>1328</v>
      </c>
      <c r="G34" s="462" t="s">
        <v>815</v>
      </c>
      <c r="H34" s="462" t="s">
        <v>815</v>
      </c>
      <c r="I34" s="462">
        <v>434</v>
      </c>
      <c r="J34" s="462">
        <v>592</v>
      </c>
      <c r="K34" s="462">
        <v>470</v>
      </c>
      <c r="L34" s="462">
        <v>470</v>
      </c>
      <c r="M34" s="462" t="s">
        <v>814</v>
      </c>
      <c r="N34" s="480">
        <v>1328</v>
      </c>
    </row>
    <row r="35" spans="1:14" ht="56.25">
      <c r="A35" s="1650"/>
      <c r="B35" s="517"/>
      <c r="C35" s="1642"/>
      <c r="D35" s="512" t="s">
        <v>833</v>
      </c>
      <c r="E35" s="512">
        <v>3100</v>
      </c>
      <c r="F35" s="512">
        <v>9600</v>
      </c>
      <c r="G35" s="512" t="s">
        <v>815</v>
      </c>
      <c r="H35" s="512" t="s">
        <v>815</v>
      </c>
      <c r="I35" s="512">
        <v>3200</v>
      </c>
      <c r="J35" s="512">
        <v>3392</v>
      </c>
      <c r="K35" s="512">
        <v>3250</v>
      </c>
      <c r="L35" s="512">
        <v>3250</v>
      </c>
      <c r="M35" s="512" t="s">
        <v>814</v>
      </c>
      <c r="N35" s="1617">
        <v>9600</v>
      </c>
    </row>
    <row r="36" spans="1:14" ht="15" customHeight="1">
      <c r="A36" s="1619"/>
      <c r="B36" s="1620"/>
      <c r="C36" s="1579"/>
      <c r="D36" s="1621"/>
      <c r="E36" s="1621"/>
      <c r="F36" s="1621"/>
      <c r="G36" s="1621"/>
      <c r="H36" s="1621"/>
      <c r="I36" s="1621"/>
      <c r="J36" s="1621"/>
      <c r="K36" s="1621"/>
      <c r="L36" s="1621"/>
      <c r="M36" s="1621"/>
      <c r="N36" s="1622"/>
    </row>
    <row r="37" spans="1:14" ht="18.75" customHeight="1">
      <c r="A37" s="519"/>
      <c r="B37" s="520"/>
      <c r="C37" s="524"/>
      <c r="D37" s="524"/>
      <c r="E37" s="524"/>
      <c r="F37" s="524"/>
      <c r="G37" s="524"/>
      <c r="H37" s="524"/>
      <c r="I37" s="524"/>
      <c r="J37" s="524"/>
      <c r="K37" s="524"/>
      <c r="L37" s="524"/>
      <c r="M37" s="524"/>
      <c r="N37" s="524"/>
    </row>
    <row r="38" spans="1:14" ht="15.75" customHeight="1" thickBot="1"/>
    <row r="39" spans="1:14">
      <c r="A39" s="1637" t="s">
        <v>813</v>
      </c>
      <c r="B39" s="1637" t="s">
        <v>812</v>
      </c>
      <c r="C39" s="1637" t="s">
        <v>811</v>
      </c>
      <c r="D39" s="1635" t="s">
        <v>810</v>
      </c>
      <c r="E39" s="1635" t="s">
        <v>809</v>
      </c>
      <c r="F39" s="1635" t="s">
        <v>808</v>
      </c>
      <c r="G39" s="1635" t="s">
        <v>807</v>
      </c>
      <c r="H39" s="1635" t="s">
        <v>806</v>
      </c>
      <c r="I39" s="1633">
        <v>2018</v>
      </c>
      <c r="J39" s="1634"/>
      <c r="K39" s="1633">
        <v>2019</v>
      </c>
      <c r="L39" s="1634"/>
      <c r="M39" s="468">
        <v>2020</v>
      </c>
      <c r="N39" s="500">
        <v>2021</v>
      </c>
    </row>
    <row r="40" spans="1:14" ht="23.25" thickBot="1">
      <c r="A40" s="1638"/>
      <c r="B40" s="1638"/>
      <c r="C40" s="1638"/>
      <c r="D40" s="1636"/>
      <c r="E40" s="1636"/>
      <c r="F40" s="1636"/>
      <c r="G40" s="1636"/>
      <c r="H40" s="1636"/>
      <c r="I40" s="467" t="s">
        <v>803</v>
      </c>
      <c r="J40" s="467" t="s">
        <v>805</v>
      </c>
      <c r="K40" s="467" t="s">
        <v>803</v>
      </c>
      <c r="L40" s="467" t="s">
        <v>804</v>
      </c>
      <c r="M40" s="467" t="s">
        <v>803</v>
      </c>
      <c r="N40" s="499" t="s">
        <v>803</v>
      </c>
    </row>
    <row r="41" spans="1:14" ht="79.5" thickBot="1">
      <c r="A41" s="1618"/>
      <c r="B41" s="1578" t="s">
        <v>837</v>
      </c>
      <c r="C41" s="503" t="s">
        <v>832</v>
      </c>
      <c r="D41" s="471" t="s">
        <v>831</v>
      </c>
      <c r="E41" s="471">
        <v>0</v>
      </c>
      <c r="F41" s="471">
        <v>2</v>
      </c>
      <c r="G41" s="471" t="s">
        <v>815</v>
      </c>
      <c r="H41" s="471" t="s">
        <v>815</v>
      </c>
      <c r="I41" s="471" t="s">
        <v>814</v>
      </c>
      <c r="J41" s="471" t="s">
        <v>814</v>
      </c>
      <c r="K41" s="471" t="s">
        <v>814</v>
      </c>
      <c r="L41" s="471" t="s">
        <v>814</v>
      </c>
      <c r="M41" s="471">
        <v>2</v>
      </c>
      <c r="N41" s="475">
        <v>2</v>
      </c>
    </row>
    <row r="42" spans="1:14" ht="104.25" customHeight="1" thickBot="1">
      <c r="A42" s="1650" t="s">
        <v>849</v>
      </c>
      <c r="B42" s="1623"/>
      <c r="C42" s="1575" t="s">
        <v>832</v>
      </c>
      <c r="D42" s="471" t="s">
        <v>830</v>
      </c>
      <c r="E42" s="471">
        <v>5522</v>
      </c>
      <c r="F42" s="471">
        <v>6400</v>
      </c>
      <c r="G42" s="471" t="s">
        <v>815</v>
      </c>
      <c r="H42" s="471" t="s">
        <v>815</v>
      </c>
      <c r="I42" s="471" t="s">
        <v>814</v>
      </c>
      <c r="J42" s="471" t="s">
        <v>814</v>
      </c>
      <c r="K42" s="471" t="s">
        <v>814</v>
      </c>
      <c r="L42" s="471" t="s">
        <v>814</v>
      </c>
      <c r="M42" s="471">
        <v>5960</v>
      </c>
      <c r="N42" s="475">
        <v>6400</v>
      </c>
    </row>
    <row r="43" spans="1:14" ht="70.5" customHeight="1">
      <c r="A43" s="1650"/>
      <c r="B43" s="1630" t="s">
        <v>829</v>
      </c>
      <c r="C43" s="502" t="s">
        <v>828</v>
      </c>
      <c r="D43" s="479" t="s">
        <v>827</v>
      </c>
      <c r="E43" s="479">
        <v>721</v>
      </c>
      <c r="F43" s="479">
        <v>2271</v>
      </c>
      <c r="G43" s="479" t="s">
        <v>815</v>
      </c>
      <c r="H43" s="479" t="s">
        <v>815</v>
      </c>
      <c r="I43" s="479">
        <v>750</v>
      </c>
      <c r="J43" s="479">
        <v>504</v>
      </c>
      <c r="K43" s="479">
        <v>800</v>
      </c>
      <c r="L43" s="479">
        <v>800</v>
      </c>
      <c r="M43" s="462" t="s">
        <v>814</v>
      </c>
      <c r="N43" s="480">
        <v>2271</v>
      </c>
    </row>
    <row r="44" spans="1:14" ht="56.25">
      <c r="A44" s="1650"/>
      <c r="B44" s="1631"/>
      <c r="C44" s="1641" t="s">
        <v>826</v>
      </c>
      <c r="D44" s="462" t="s">
        <v>825</v>
      </c>
      <c r="E44" s="462">
        <v>19</v>
      </c>
      <c r="F44" s="462">
        <v>30</v>
      </c>
      <c r="G44" s="462" t="s">
        <v>815</v>
      </c>
      <c r="H44" s="462" t="s">
        <v>815</v>
      </c>
      <c r="I44" s="462" t="s">
        <v>814</v>
      </c>
      <c r="J44" s="462" t="s">
        <v>814</v>
      </c>
      <c r="K44" s="462" t="s">
        <v>814</v>
      </c>
      <c r="L44" s="462" t="s">
        <v>814</v>
      </c>
      <c r="M44" s="462">
        <v>30</v>
      </c>
      <c r="N44" s="480">
        <v>30</v>
      </c>
    </row>
    <row r="45" spans="1:14" ht="60.75" customHeight="1" thickBot="1">
      <c r="A45" s="1650"/>
      <c r="B45" s="1632"/>
      <c r="C45" s="1643"/>
      <c r="D45" s="471" t="s">
        <v>824</v>
      </c>
      <c r="E45" s="471">
        <v>592</v>
      </c>
      <c r="F45" s="471">
        <v>550</v>
      </c>
      <c r="G45" s="471" t="s">
        <v>815</v>
      </c>
      <c r="H45" s="471" t="s">
        <v>815</v>
      </c>
      <c r="I45" s="471" t="s">
        <v>814</v>
      </c>
      <c r="J45" s="471" t="s">
        <v>814</v>
      </c>
      <c r="K45" s="471" t="s">
        <v>814</v>
      </c>
      <c r="L45" s="471" t="s">
        <v>814</v>
      </c>
      <c r="M45" s="471">
        <v>550</v>
      </c>
      <c r="N45" s="475">
        <v>600</v>
      </c>
    </row>
    <row r="46" spans="1:14" ht="51" customHeight="1">
      <c r="A46" s="1650"/>
      <c r="B46" s="1630" t="s">
        <v>823</v>
      </c>
      <c r="C46" s="502" t="s">
        <v>822</v>
      </c>
      <c r="D46" s="479" t="s">
        <v>821</v>
      </c>
      <c r="E46" s="479">
        <v>0</v>
      </c>
      <c r="F46" s="479">
        <v>12</v>
      </c>
      <c r="G46" s="479" t="s">
        <v>815</v>
      </c>
      <c r="H46" s="479" t="s">
        <v>815</v>
      </c>
      <c r="I46" s="479">
        <v>4</v>
      </c>
      <c r="J46" s="479">
        <v>1</v>
      </c>
      <c r="K46" s="479">
        <v>4</v>
      </c>
      <c r="L46" s="479">
        <v>1</v>
      </c>
      <c r="M46" s="479" t="s">
        <v>820</v>
      </c>
      <c r="N46" s="478">
        <v>12</v>
      </c>
    </row>
    <row r="47" spans="1:14" ht="48" customHeight="1" thickBot="1">
      <c r="A47" s="1650"/>
      <c r="B47" s="1632"/>
      <c r="C47" s="503" t="s">
        <v>819</v>
      </c>
      <c r="D47" s="471" t="s">
        <v>818</v>
      </c>
      <c r="E47" s="471">
        <v>0</v>
      </c>
      <c r="F47" s="471">
        <v>3</v>
      </c>
      <c r="G47" s="471" t="s">
        <v>815</v>
      </c>
      <c r="H47" s="471" t="s">
        <v>815</v>
      </c>
      <c r="I47" s="471" t="s">
        <v>814</v>
      </c>
      <c r="J47" s="471" t="s">
        <v>814</v>
      </c>
      <c r="K47" s="471" t="s">
        <v>814</v>
      </c>
      <c r="L47" s="471" t="s">
        <v>814</v>
      </c>
      <c r="M47" s="471">
        <v>3</v>
      </c>
      <c r="N47" s="475">
        <v>3</v>
      </c>
    </row>
    <row r="48" spans="1:14" ht="84.75" customHeight="1" thickBot="1">
      <c r="A48" s="1651"/>
      <c r="B48" s="474"/>
      <c r="C48" s="504" t="s">
        <v>817</v>
      </c>
      <c r="D48" s="505" t="s">
        <v>816</v>
      </c>
      <c r="E48" s="473">
        <v>0</v>
      </c>
      <c r="F48" s="470">
        <v>0.9</v>
      </c>
      <c r="G48" s="472" t="s">
        <v>815</v>
      </c>
      <c r="H48" s="472" t="s">
        <v>815</v>
      </c>
      <c r="I48" s="471" t="s">
        <v>814</v>
      </c>
      <c r="J48" s="471" t="s">
        <v>814</v>
      </c>
      <c r="K48" s="471" t="s">
        <v>814</v>
      </c>
      <c r="L48" s="471" t="s">
        <v>814</v>
      </c>
      <c r="M48" s="470">
        <v>0.8</v>
      </c>
      <c r="N48" s="469">
        <v>0.9</v>
      </c>
    </row>
    <row r="51" spans="1:14" ht="12" thickBot="1"/>
    <row r="52" spans="1:14">
      <c r="A52" s="1637" t="s">
        <v>813</v>
      </c>
      <c r="B52" s="1637" t="s">
        <v>812</v>
      </c>
      <c r="C52" s="1637" t="s">
        <v>811</v>
      </c>
      <c r="D52" s="1635" t="s">
        <v>810</v>
      </c>
      <c r="E52" s="1635" t="s">
        <v>809</v>
      </c>
      <c r="F52" s="1635" t="s">
        <v>808</v>
      </c>
      <c r="G52" s="1635" t="s">
        <v>807</v>
      </c>
      <c r="H52" s="1635" t="s">
        <v>806</v>
      </c>
      <c r="I52" s="1633">
        <v>2018</v>
      </c>
      <c r="J52" s="1634"/>
      <c r="K52" s="1633">
        <v>2019</v>
      </c>
      <c r="L52" s="1634"/>
      <c r="M52" s="468">
        <v>2020</v>
      </c>
      <c r="N52" s="500">
        <v>2021</v>
      </c>
    </row>
    <row r="53" spans="1:14" ht="22.5">
      <c r="A53" s="1638"/>
      <c r="B53" s="1638"/>
      <c r="C53" s="1638"/>
      <c r="D53" s="1636"/>
      <c r="E53" s="1636"/>
      <c r="F53" s="1636"/>
      <c r="G53" s="1636"/>
      <c r="H53" s="1636"/>
      <c r="I53" s="467" t="s">
        <v>803</v>
      </c>
      <c r="J53" s="467" t="s">
        <v>805</v>
      </c>
      <c r="K53" s="467" t="s">
        <v>803</v>
      </c>
      <c r="L53" s="467" t="s">
        <v>804</v>
      </c>
      <c r="M53" s="467" t="s">
        <v>803</v>
      </c>
      <c r="N53" s="499" t="s">
        <v>803</v>
      </c>
    </row>
    <row r="54" spans="1:14" ht="110.25" customHeight="1">
      <c r="A54" s="1661" t="s">
        <v>802</v>
      </c>
      <c r="B54" s="1652" t="s">
        <v>801</v>
      </c>
      <c r="C54" s="462" t="s">
        <v>800</v>
      </c>
      <c r="D54" s="462" t="s">
        <v>799</v>
      </c>
      <c r="E54" s="466" t="s">
        <v>798</v>
      </c>
      <c r="F54" s="465">
        <v>0.99</v>
      </c>
      <c r="G54" s="463" t="s">
        <v>797</v>
      </c>
      <c r="H54" s="462" t="s">
        <v>796</v>
      </c>
      <c r="I54" s="465">
        <v>0.99</v>
      </c>
      <c r="J54" s="464">
        <v>0.995</v>
      </c>
      <c r="K54" s="465">
        <v>0.99</v>
      </c>
      <c r="L54" s="464">
        <v>0.996</v>
      </c>
      <c r="M54" s="465">
        <v>0.99</v>
      </c>
      <c r="N54" s="525">
        <v>0.99</v>
      </c>
    </row>
    <row r="55" spans="1:14" ht="10.5" customHeight="1">
      <c r="A55" s="1661"/>
      <c r="B55" s="1652"/>
      <c r="C55" s="1652" t="s">
        <v>795</v>
      </c>
      <c r="D55" s="1652" t="s">
        <v>794</v>
      </c>
      <c r="E55" s="1652" t="s">
        <v>793</v>
      </c>
      <c r="F55" s="1656">
        <v>1</v>
      </c>
      <c r="G55" s="1658" t="s">
        <v>792</v>
      </c>
      <c r="H55" s="1652" t="s">
        <v>791</v>
      </c>
      <c r="I55" s="1656">
        <v>1</v>
      </c>
      <c r="J55" s="1659">
        <v>1</v>
      </c>
      <c r="K55" s="1656">
        <v>1</v>
      </c>
      <c r="L55" s="1653">
        <v>1.1879999999999999</v>
      </c>
      <c r="M55" s="1656">
        <v>1</v>
      </c>
      <c r="N55" s="1657">
        <v>1</v>
      </c>
    </row>
    <row r="56" spans="1:14" ht="48" customHeight="1">
      <c r="A56" s="1661"/>
      <c r="B56" s="1652" t="s">
        <v>790</v>
      </c>
      <c r="C56" s="1652"/>
      <c r="D56" s="1652"/>
      <c r="E56" s="1652"/>
      <c r="F56" s="1652"/>
      <c r="G56" s="1658"/>
      <c r="H56" s="1652"/>
      <c r="I56" s="1652"/>
      <c r="J56" s="1660"/>
      <c r="K56" s="1652"/>
      <c r="L56" s="1654"/>
      <c r="M56" s="1652"/>
      <c r="N56" s="1657"/>
    </row>
    <row r="57" spans="1:14" ht="63" customHeight="1">
      <c r="A57" s="1661"/>
      <c r="B57" s="1652"/>
      <c r="C57" s="462" t="s">
        <v>789</v>
      </c>
      <c r="D57" s="462" t="s">
        <v>788</v>
      </c>
      <c r="E57" s="462" t="s">
        <v>782</v>
      </c>
      <c r="F57" s="461">
        <v>1</v>
      </c>
      <c r="G57" s="463" t="s">
        <v>787</v>
      </c>
      <c r="H57" s="462" t="s">
        <v>786</v>
      </c>
      <c r="I57" s="461">
        <v>0.7</v>
      </c>
      <c r="J57" s="460">
        <v>0.79400000000000004</v>
      </c>
      <c r="K57" s="461">
        <v>1</v>
      </c>
      <c r="L57" s="460">
        <v>0.94199999999999995</v>
      </c>
      <c r="M57" s="461">
        <v>1</v>
      </c>
      <c r="N57" s="526">
        <v>1</v>
      </c>
    </row>
    <row r="58" spans="1:14" ht="87" customHeight="1" thickBot="1">
      <c r="A58" s="1662"/>
      <c r="B58" s="471" t="s">
        <v>785</v>
      </c>
      <c r="C58" s="471" t="s">
        <v>784</v>
      </c>
      <c r="D58" s="471" t="s">
        <v>783</v>
      </c>
      <c r="E58" s="471" t="s">
        <v>782</v>
      </c>
      <c r="F58" s="527">
        <v>1</v>
      </c>
      <c r="G58" s="471" t="s">
        <v>781</v>
      </c>
      <c r="H58" s="471" t="s">
        <v>780</v>
      </c>
      <c r="I58" s="527">
        <v>1</v>
      </c>
      <c r="J58" s="528">
        <v>0.97</v>
      </c>
      <c r="K58" s="527">
        <v>1</v>
      </c>
      <c r="L58" s="529">
        <v>0.97</v>
      </c>
      <c r="M58" s="527">
        <v>1</v>
      </c>
      <c r="N58" s="530">
        <v>1</v>
      </c>
    </row>
  </sheetData>
  <mergeCells count="80">
    <mergeCell ref="A27:A35"/>
    <mergeCell ref="M55:M56"/>
    <mergeCell ref="N55:N56"/>
    <mergeCell ref="B56:B57"/>
    <mergeCell ref="F55:F56"/>
    <mergeCell ref="G55:G56"/>
    <mergeCell ref="H55:H56"/>
    <mergeCell ref="I55:I56"/>
    <mergeCell ref="J55:J56"/>
    <mergeCell ref="C52:C53"/>
    <mergeCell ref="B52:B53"/>
    <mergeCell ref="A52:A53"/>
    <mergeCell ref="D52:D53"/>
    <mergeCell ref="K55:K56"/>
    <mergeCell ref="A54:A58"/>
    <mergeCell ref="B54:B55"/>
    <mergeCell ref="C55:C56"/>
    <mergeCell ref="D55:D56"/>
    <mergeCell ref="E55:E56"/>
    <mergeCell ref="I52:J52"/>
    <mergeCell ref="K52:L52"/>
    <mergeCell ref="L55:L56"/>
    <mergeCell ref="M4:N4"/>
    <mergeCell ref="I4:J4"/>
    <mergeCell ref="K4:L4"/>
    <mergeCell ref="H4:H5"/>
    <mergeCell ref="K25:L25"/>
    <mergeCell ref="M14:N14"/>
    <mergeCell ref="G4:G5"/>
    <mergeCell ref="E52:E53"/>
    <mergeCell ref="F52:F53"/>
    <mergeCell ref="G52:G53"/>
    <mergeCell ref="H52:H53"/>
    <mergeCell ref="D25:D26"/>
    <mergeCell ref="E25:E26"/>
    <mergeCell ref="F25:F26"/>
    <mergeCell ref="C4:C5"/>
    <mergeCell ref="B4:B5"/>
    <mergeCell ref="D4:D5"/>
    <mergeCell ref="E4:E5"/>
    <mergeCell ref="F4:F5"/>
    <mergeCell ref="D14:D15"/>
    <mergeCell ref="E14:E15"/>
    <mergeCell ref="C44:C45"/>
    <mergeCell ref="B46:B47"/>
    <mergeCell ref="B6:B8"/>
    <mergeCell ref="C6:C8"/>
    <mergeCell ref="A4:A5"/>
    <mergeCell ref="A6:A11"/>
    <mergeCell ref="A16:A19"/>
    <mergeCell ref="A25:A26"/>
    <mergeCell ref="B25:B26"/>
    <mergeCell ref="C25:C26"/>
    <mergeCell ref="A42:A48"/>
    <mergeCell ref="A14:A15"/>
    <mergeCell ref="B14:B15"/>
    <mergeCell ref="C14:C15"/>
    <mergeCell ref="A39:A40"/>
    <mergeCell ref="B39:B40"/>
    <mergeCell ref="D39:D40"/>
    <mergeCell ref="B27:B32"/>
    <mergeCell ref="C27:C28"/>
    <mergeCell ref="C30:C31"/>
    <mergeCell ref="C33:C35"/>
    <mergeCell ref="B43:B45"/>
    <mergeCell ref="K39:L39"/>
    <mergeCell ref="F14:F15"/>
    <mergeCell ref="G14:G15"/>
    <mergeCell ref="H14:H15"/>
    <mergeCell ref="I14:J14"/>
    <mergeCell ref="K14:L14"/>
    <mergeCell ref="H25:H26"/>
    <mergeCell ref="I25:J25"/>
    <mergeCell ref="G25:G26"/>
    <mergeCell ref="E39:E40"/>
    <mergeCell ref="F39:F40"/>
    <mergeCell ref="G39:G40"/>
    <mergeCell ref="H39:H40"/>
    <mergeCell ref="I39:J39"/>
    <mergeCell ref="C39:C40"/>
  </mergeCells>
  <printOptions horizontalCentered="1"/>
  <pageMargins left="0.23622047244094491" right="0.23622047244094491" top="0.74803149606299213" bottom="0.74803149606299213" header="0.31496062992125984" footer="0.31496062992125984"/>
  <pageSetup paperSize="9" scale="76" orientation="landscape" r:id="rId1"/>
  <headerFooter alignWithMargins="0">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rowBreaks count="4" manualBreakCount="4">
    <brk id="12" max="14" man="1"/>
    <brk id="23" max="14" man="1"/>
    <brk id="37" max="14" man="1"/>
    <brk id="50" max="14" man="1"/>
  </row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baseColWidth="10" defaultColWidth="10.7109375"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D40"/>
  <sheetViews>
    <sheetView showGridLines="0" view="pageBreakPreview" zoomScale="80" zoomScaleNormal="80" zoomScaleSheetLayoutView="80" workbookViewId="0">
      <selection activeCell="C25" sqref="C25"/>
    </sheetView>
  </sheetViews>
  <sheetFormatPr baseColWidth="10" defaultColWidth="11.28515625" defaultRowHeight="12.75"/>
  <cols>
    <col min="1" max="1" width="73" customWidth="1"/>
    <col min="2" max="4" width="18.7109375" customWidth="1"/>
  </cols>
  <sheetData>
    <row r="1" spans="1:4">
      <c r="A1" s="30" t="s">
        <v>375</v>
      </c>
    </row>
    <row r="2" spans="1:4" ht="20.25" customHeight="1">
      <c r="A2" s="31" t="s">
        <v>438</v>
      </c>
    </row>
    <row r="3" spans="1:4" s="54" customFormat="1" ht="28.35" customHeight="1">
      <c r="A3" s="60" t="s">
        <v>317</v>
      </c>
      <c r="B3" s="61">
        <v>2019</v>
      </c>
      <c r="C3" s="61">
        <v>2020</v>
      </c>
      <c r="D3" s="61">
        <v>2021</v>
      </c>
    </row>
    <row r="4" spans="1:4" s="57" customFormat="1" ht="20.100000000000001" customHeight="1">
      <c r="A4" s="166" t="s">
        <v>314</v>
      </c>
      <c r="B4" s="167">
        <v>199537586</v>
      </c>
      <c r="C4" s="167">
        <v>125770382</v>
      </c>
      <c r="D4" s="167">
        <v>100597095</v>
      </c>
    </row>
    <row r="5" spans="1:4" s="57" customFormat="1" ht="20.100000000000001" customHeight="1">
      <c r="A5" s="166" t="s">
        <v>315</v>
      </c>
      <c r="B5" s="167">
        <v>170434992</v>
      </c>
      <c r="C5" s="167">
        <v>181854998</v>
      </c>
      <c r="D5" s="167">
        <v>138124049</v>
      </c>
    </row>
    <row r="6" spans="1:4" s="57" customFormat="1" ht="20.100000000000001" customHeight="1">
      <c r="A6" s="166" t="s">
        <v>316</v>
      </c>
      <c r="B6" s="167">
        <f>SUM(B7:B12)</f>
        <v>367747058</v>
      </c>
      <c r="C6" s="167">
        <f t="shared" ref="C6:D6" si="0">SUM(C7:C12)</f>
        <v>430265561</v>
      </c>
      <c r="D6" s="167">
        <f t="shared" si="0"/>
        <v>237415522</v>
      </c>
    </row>
    <row r="7" spans="1:4" s="57" customFormat="1" ht="20.100000000000001" customHeight="1">
      <c r="A7" s="1573" t="s">
        <v>4873</v>
      </c>
      <c r="B7" s="1571">
        <v>339919696</v>
      </c>
      <c r="C7" s="1572">
        <v>401449915</v>
      </c>
      <c r="D7" s="1572">
        <v>215669936</v>
      </c>
    </row>
    <row r="8" spans="1:4" s="57" customFormat="1" ht="20.100000000000001" customHeight="1">
      <c r="A8" s="1573" t="s">
        <v>4874</v>
      </c>
      <c r="B8" s="1571">
        <v>3708020</v>
      </c>
      <c r="C8" s="1572">
        <v>4306695</v>
      </c>
      <c r="D8" s="1572">
        <v>4069171</v>
      </c>
    </row>
    <row r="9" spans="1:4" s="57" customFormat="1" ht="20.100000000000001" customHeight="1">
      <c r="A9" s="1573" t="s">
        <v>4876</v>
      </c>
      <c r="B9" s="1571">
        <v>2789132</v>
      </c>
      <c r="C9" s="1572">
        <v>2397132</v>
      </c>
      <c r="D9" s="1572">
        <v>1169456</v>
      </c>
    </row>
    <row r="10" spans="1:4" s="57" customFormat="1" ht="20.100000000000001" customHeight="1">
      <c r="A10" s="1573" t="s">
        <v>4875</v>
      </c>
      <c r="B10" s="1571">
        <v>13871478</v>
      </c>
      <c r="C10" s="1572">
        <v>18350641</v>
      </c>
      <c r="D10" s="1572">
        <v>12302292</v>
      </c>
    </row>
    <row r="11" spans="1:4" s="57" customFormat="1" ht="20.100000000000001" customHeight="1">
      <c r="A11" s="1573" t="s">
        <v>4877</v>
      </c>
      <c r="B11" s="1571">
        <v>1714807</v>
      </c>
      <c r="C11" s="1572">
        <v>1167000</v>
      </c>
      <c r="D11" s="1572">
        <v>682460</v>
      </c>
    </row>
    <row r="12" spans="1:4" s="57" customFormat="1" ht="20.100000000000001" customHeight="1">
      <c r="A12" s="1573" t="s">
        <v>4878</v>
      </c>
      <c r="B12" s="1571">
        <v>5743925</v>
      </c>
      <c r="C12" s="1572">
        <v>2594178</v>
      </c>
      <c r="D12" s="1572">
        <v>3522207</v>
      </c>
    </row>
    <row r="13" spans="1:4" s="57" customFormat="1" ht="28.35" customHeight="1">
      <c r="A13" s="58" t="s">
        <v>308</v>
      </c>
      <c r="B13" s="165">
        <f>SUM(B4:B6)</f>
        <v>737719636</v>
      </c>
      <c r="C13" s="165">
        <f>SUM(C4:C6)</f>
        <v>737890941</v>
      </c>
      <c r="D13" s="165">
        <f>SUM(D4:D6)</f>
        <v>476136666</v>
      </c>
    </row>
    <row r="15" spans="1:4" s="54" customFormat="1" ht="28.35" customHeight="1">
      <c r="A15" s="60" t="s">
        <v>318</v>
      </c>
      <c r="B15" s="61">
        <v>2019</v>
      </c>
      <c r="C15" s="61" t="s">
        <v>376</v>
      </c>
      <c r="D15" s="61" t="s">
        <v>377</v>
      </c>
    </row>
    <row r="16" spans="1:4" s="57" customFormat="1" ht="20.100000000000001" customHeight="1">
      <c r="A16" s="166" t="s">
        <v>314</v>
      </c>
      <c r="B16" s="167">
        <v>112775231</v>
      </c>
      <c r="C16" s="167">
        <f>114915899-4255557-2154436</f>
        <v>108505906</v>
      </c>
      <c r="D16" s="167">
        <v>100597095</v>
      </c>
    </row>
    <row r="17" spans="1:4" s="57" customFormat="1" ht="20.100000000000001" customHeight="1">
      <c r="A17" s="166" t="s">
        <v>315</v>
      </c>
      <c r="B17" s="167">
        <v>387855710</v>
      </c>
      <c r="C17" s="167">
        <f>194050723-6920580-21380211</f>
        <v>165749932</v>
      </c>
      <c r="D17" s="167">
        <v>138124049</v>
      </c>
    </row>
    <row r="18" spans="1:4" s="57" customFormat="1" ht="20.100000000000001" customHeight="1">
      <c r="A18" s="166" t="s">
        <v>316</v>
      </c>
      <c r="B18" s="167">
        <f>SUM(B19:B24)</f>
        <v>450843367</v>
      </c>
      <c r="C18" s="167">
        <f>SUM(C19:C24)</f>
        <v>494896223</v>
      </c>
      <c r="D18" s="167">
        <f t="shared" ref="D18" si="1">SUM(D19:D24)</f>
        <v>237415522</v>
      </c>
    </row>
    <row r="19" spans="1:4" s="57" customFormat="1" ht="20.100000000000001" customHeight="1">
      <c r="A19" s="1573" t="s">
        <v>4873</v>
      </c>
      <c r="B19" s="1572">
        <v>338559189</v>
      </c>
      <c r="C19" s="1572">
        <f>401251630-45496503</f>
        <v>355755127</v>
      </c>
      <c r="D19" s="1572">
        <v>215669936</v>
      </c>
    </row>
    <row r="20" spans="1:4" s="57" customFormat="1" ht="20.100000000000001" customHeight="1">
      <c r="A20" s="1573" t="s">
        <v>4874</v>
      </c>
      <c r="B20" s="1572">
        <v>5115527</v>
      </c>
      <c r="C20" s="1572">
        <v>4430114</v>
      </c>
      <c r="D20" s="1572">
        <v>4069171</v>
      </c>
    </row>
    <row r="21" spans="1:4" s="57" customFormat="1" ht="20.100000000000001" customHeight="1">
      <c r="A21" s="1573" t="s">
        <v>4876</v>
      </c>
      <c r="B21" s="1572">
        <v>82797132</v>
      </c>
      <c r="C21" s="1572">
        <f>2397132+111731645-540000</f>
        <v>113588777</v>
      </c>
      <c r="D21" s="1572">
        <v>1169456</v>
      </c>
    </row>
    <row r="22" spans="1:4" s="57" customFormat="1" ht="20.100000000000001" customHeight="1">
      <c r="A22" s="1573" t="s">
        <v>4875</v>
      </c>
      <c r="B22" s="1572">
        <v>18586356</v>
      </c>
      <c r="C22" s="1572">
        <f>18353341-1239528</f>
        <v>17113813</v>
      </c>
      <c r="D22" s="1572">
        <v>12302292</v>
      </c>
    </row>
    <row r="23" spans="1:4" s="57" customFormat="1" ht="20.100000000000001" customHeight="1">
      <c r="A23" s="1573" t="s">
        <v>4877</v>
      </c>
      <c r="B23" s="1572">
        <v>1724807</v>
      </c>
      <c r="C23" s="1572">
        <v>1190762</v>
      </c>
      <c r="D23" s="1572">
        <v>682460</v>
      </c>
    </row>
    <row r="24" spans="1:4" s="57" customFormat="1" ht="20.100000000000001" customHeight="1">
      <c r="A24" s="1573" t="s">
        <v>4878</v>
      </c>
      <c r="B24" s="1572">
        <v>4060356</v>
      </c>
      <c r="C24" s="1572">
        <v>2817630</v>
      </c>
      <c r="D24" s="1572">
        <v>3522207</v>
      </c>
    </row>
    <row r="25" spans="1:4" s="57" customFormat="1" ht="28.35" customHeight="1">
      <c r="A25" s="58" t="s">
        <v>309</v>
      </c>
      <c r="B25" s="165">
        <f>SUM(B16:B18)</f>
        <v>951474308</v>
      </c>
      <c r="C25" s="165">
        <f>SUM(C16:C18)</f>
        <v>769152061</v>
      </c>
      <c r="D25" s="165">
        <f>SUM(D16:D18)</f>
        <v>476136666</v>
      </c>
    </row>
    <row r="27" spans="1:4" s="54" customFormat="1" ht="28.35" customHeight="1">
      <c r="A27" s="60" t="s">
        <v>319</v>
      </c>
      <c r="B27" s="61">
        <v>2019</v>
      </c>
      <c r="C27" s="61" t="s">
        <v>376</v>
      </c>
      <c r="D27" s="61" t="s">
        <v>377</v>
      </c>
    </row>
    <row r="28" spans="1:4" s="57" customFormat="1" ht="20.100000000000001" customHeight="1">
      <c r="A28" s="166" t="s">
        <v>314</v>
      </c>
      <c r="B28" s="167">
        <v>99220362</v>
      </c>
      <c r="C28" s="167">
        <v>92804946</v>
      </c>
      <c r="D28" s="167">
        <v>100597095</v>
      </c>
    </row>
    <row r="29" spans="1:4" s="57" customFormat="1" ht="20.100000000000001" customHeight="1">
      <c r="A29" s="166" t="s">
        <v>315</v>
      </c>
      <c r="B29" s="167">
        <v>356491014</v>
      </c>
      <c r="C29" s="167">
        <v>119952566</v>
      </c>
      <c r="D29" s="167">
        <v>138124049</v>
      </c>
    </row>
    <row r="30" spans="1:4" s="57" customFormat="1" ht="20.100000000000001" customHeight="1">
      <c r="A30" s="166" t="s">
        <v>316</v>
      </c>
      <c r="B30" s="167">
        <f>SUM(B31:B36)</f>
        <v>398069430</v>
      </c>
      <c r="C30" s="167">
        <f t="shared" ref="C30:D30" si="2">SUM(C31:C36)</f>
        <v>389274255</v>
      </c>
      <c r="D30" s="167">
        <f t="shared" si="2"/>
        <v>237415522</v>
      </c>
    </row>
    <row r="31" spans="1:4" s="57" customFormat="1" ht="20.100000000000001" customHeight="1">
      <c r="A31" s="1573" t="s">
        <v>4873</v>
      </c>
      <c r="B31" s="1572">
        <v>295104741</v>
      </c>
      <c r="C31" s="1572">
        <v>254694866</v>
      </c>
      <c r="D31" s="1572">
        <v>215669936</v>
      </c>
    </row>
    <row r="32" spans="1:4" s="57" customFormat="1" ht="20.100000000000001" customHeight="1">
      <c r="A32" s="1573" t="s">
        <v>4874</v>
      </c>
      <c r="B32" s="1572">
        <v>4785978</v>
      </c>
      <c r="C32" s="1572">
        <v>4196304</v>
      </c>
      <c r="D32" s="1572">
        <v>4069171</v>
      </c>
    </row>
    <row r="33" spans="1:4" s="57" customFormat="1" ht="20.100000000000001" customHeight="1">
      <c r="A33" s="1573" t="s">
        <v>4876</v>
      </c>
      <c r="B33" s="1572">
        <v>81061599</v>
      </c>
      <c r="C33" s="1572">
        <f>1791999+111731645</f>
        <v>113523644</v>
      </c>
      <c r="D33" s="1572">
        <v>1169456</v>
      </c>
    </row>
    <row r="34" spans="1:4" s="57" customFormat="1" ht="20.100000000000001" customHeight="1">
      <c r="A34" s="1573" t="s">
        <v>4875</v>
      </c>
      <c r="B34" s="1572">
        <v>13450827</v>
      </c>
      <c r="C34" s="1572">
        <v>14127703</v>
      </c>
      <c r="D34" s="1572">
        <v>12302292</v>
      </c>
    </row>
    <row r="35" spans="1:4" s="57" customFormat="1" ht="20.100000000000001" customHeight="1">
      <c r="A35" s="1573" t="s">
        <v>4877</v>
      </c>
      <c r="B35" s="1572">
        <v>891616</v>
      </c>
      <c r="C35" s="1572">
        <v>202027</v>
      </c>
      <c r="D35" s="1572">
        <v>682460</v>
      </c>
    </row>
    <row r="36" spans="1:4" s="57" customFormat="1" ht="20.100000000000001" customHeight="1">
      <c r="A36" s="1573" t="s">
        <v>4878</v>
      </c>
      <c r="B36" s="1572">
        <v>2774669</v>
      </c>
      <c r="C36" s="1572">
        <v>2529711</v>
      </c>
      <c r="D36" s="1572">
        <v>3522207</v>
      </c>
    </row>
    <row r="37" spans="1:4" s="57" customFormat="1" ht="28.35" customHeight="1">
      <c r="A37" s="58" t="s">
        <v>310</v>
      </c>
      <c r="B37" s="165">
        <f>SUM(B28:B30)</f>
        <v>853780806</v>
      </c>
      <c r="C37" s="165">
        <f>SUM(C28:C30)</f>
        <v>602031767</v>
      </c>
      <c r="D37" s="165">
        <f>SUM(D28:D30)</f>
        <v>476136666</v>
      </c>
    </row>
    <row r="38" spans="1:4">
      <c r="A38" s="161" t="s">
        <v>378</v>
      </c>
    </row>
    <row r="39" spans="1:4">
      <c r="A39" s="162" t="s">
        <v>379</v>
      </c>
      <c r="B39" s="1569"/>
    </row>
    <row r="40" spans="1:4">
      <c r="B40" s="1570"/>
    </row>
  </sheetData>
  <printOptions horizontalCentered="1"/>
  <pageMargins left="0.70866141732283472" right="0.51181102362204722" top="1.1417322834645669" bottom="0.55118110236220474" header="0.51181102362204722" footer="0.31496062992125984"/>
  <pageSetup paperSize="9" orientation="landscape" r:id="rId1"/>
  <headerFooter>
    <oddHeader xml:space="preserve">&amp;L&amp;"Arial,Negrita"&amp;14
&amp;C&amp;"Arial,Negrita"&amp;18PROYECTO DE PRESUPUESTO 2021&amp;R&amp;"Arial,Negrita"&amp;14 </oddHeader>
    <oddFooter>&amp;L&amp;"Arial,Negrita"&amp;8PROYECTO DE PRESUPUESTO PARA EL AÑO FISCAL 2021
INFORMACIÓN PARA LA COMISIÓN DE PRESUPUESTO Y CUENTA GENERAL DE LA REPÚBLICA DEL CONGRESO DE LA REPÚBLICA</oddFooter>
  </headerFooter>
  <rowBreaks count="2" manualBreakCount="2">
    <brk id="14" max="16383" man="1"/>
    <brk id="26" max="16383" man="1"/>
  </rowBreaks>
  <ignoredErrors>
    <ignoredError sqref="C13:D13 B2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sheetPr>
  <dimension ref="A1:D274"/>
  <sheetViews>
    <sheetView showGridLines="0" tabSelected="1" topLeftCell="A29" zoomScale="80" zoomScaleNormal="80" workbookViewId="0">
      <selection activeCell="G49" sqref="G49"/>
    </sheetView>
  </sheetViews>
  <sheetFormatPr baseColWidth="10" defaultColWidth="11.28515625" defaultRowHeight="12.75"/>
  <cols>
    <col min="1" max="1" width="52.28515625" customWidth="1"/>
    <col min="2" max="4" width="14.7109375" customWidth="1"/>
  </cols>
  <sheetData>
    <row r="1" spans="1:4">
      <c r="A1" s="30" t="s">
        <v>380</v>
      </c>
    </row>
    <row r="2" spans="1:4">
      <c r="A2" s="31" t="s">
        <v>438</v>
      </c>
    </row>
    <row r="3" spans="1:4" s="377" customFormat="1">
      <c r="A3" s="400"/>
    </row>
    <row r="4" spans="1:4" s="54" customFormat="1" ht="16.5" customHeight="1">
      <c r="A4" s="245" t="s">
        <v>446</v>
      </c>
      <c r="B4" s="246"/>
      <c r="C4" s="246"/>
      <c r="D4" s="246"/>
    </row>
    <row r="5" spans="1:4" s="56" customFormat="1" ht="25.5">
      <c r="A5" s="247" t="s">
        <v>313</v>
      </c>
      <c r="B5" s="248">
        <v>2019</v>
      </c>
      <c r="C5" s="248">
        <v>2020</v>
      </c>
      <c r="D5" s="248">
        <v>2021</v>
      </c>
    </row>
    <row r="6" spans="1:4" s="55" customFormat="1" ht="15" customHeight="1">
      <c r="A6" s="249" t="s">
        <v>116</v>
      </c>
      <c r="B6" s="250">
        <f>SUM(B7:B12)</f>
        <v>391267412</v>
      </c>
      <c r="C6" s="250">
        <f>SUM(C7:C12)</f>
        <v>328208290</v>
      </c>
      <c r="D6" s="250">
        <f>SUM(D7:D12)</f>
        <v>252511165</v>
      </c>
    </row>
    <row r="7" spans="1:4" s="55" customFormat="1" ht="15" customHeight="1">
      <c r="A7" s="251" t="s">
        <v>105</v>
      </c>
      <c r="B7" s="252"/>
      <c r="C7" s="252"/>
      <c r="D7" s="252"/>
    </row>
    <row r="8" spans="1:4" s="55" customFormat="1" ht="15" customHeight="1">
      <c r="A8" s="251" t="s">
        <v>106</v>
      </c>
      <c r="B8" s="252">
        <f t="shared" ref="B8:D12" si="0">+B63+B117+B171+B225</f>
        <v>52426261</v>
      </c>
      <c r="C8" s="252">
        <f t="shared" si="0"/>
        <v>51767958</v>
      </c>
      <c r="D8" s="252">
        <f t="shared" si="0"/>
        <v>51861019</v>
      </c>
    </row>
    <row r="9" spans="1:4" s="55" customFormat="1" ht="15" customHeight="1">
      <c r="A9" s="251" t="s">
        <v>107</v>
      </c>
      <c r="B9" s="252">
        <f t="shared" si="0"/>
        <v>15459271</v>
      </c>
      <c r="C9" s="252">
        <f t="shared" si="0"/>
        <v>13883524</v>
      </c>
      <c r="D9" s="252">
        <f t="shared" si="0"/>
        <v>13234786</v>
      </c>
    </row>
    <row r="10" spans="1:4" s="55" customFormat="1" ht="15" customHeight="1">
      <c r="A10" s="251" t="s">
        <v>108</v>
      </c>
      <c r="B10" s="252">
        <f t="shared" si="0"/>
        <v>210190660</v>
      </c>
      <c r="C10" s="252">
        <f t="shared" si="0"/>
        <v>235482312</v>
      </c>
      <c r="D10" s="252">
        <f t="shared" si="0"/>
        <v>170531788</v>
      </c>
    </row>
    <row r="11" spans="1:4" s="55" customFormat="1" ht="15" customHeight="1">
      <c r="A11" s="251" t="s">
        <v>134</v>
      </c>
      <c r="B11" s="252">
        <f t="shared" si="0"/>
        <v>109626624</v>
      </c>
      <c r="C11" s="252">
        <f t="shared" si="0"/>
        <v>26435000</v>
      </c>
      <c r="D11" s="252">
        <f>+D66+D120+D174+D228</f>
        <v>16544076</v>
      </c>
    </row>
    <row r="12" spans="1:4" s="55" customFormat="1" ht="15" customHeight="1">
      <c r="A12" s="251" t="s">
        <v>135</v>
      </c>
      <c r="B12" s="252">
        <f t="shared" si="0"/>
        <v>3564596</v>
      </c>
      <c r="C12" s="252">
        <f t="shared" si="0"/>
        <v>639496</v>
      </c>
      <c r="D12" s="252">
        <f>+D67+D121+D175+D229</f>
        <v>339496</v>
      </c>
    </row>
    <row r="13" spans="1:4" s="55" customFormat="1" ht="15" customHeight="1">
      <c r="A13" s="249" t="s">
        <v>104</v>
      </c>
      <c r="B13" s="250">
        <f>SUM(B14:B17)</f>
        <v>346452224</v>
      </c>
      <c r="C13" s="250">
        <f>SUM(C14:C17)</f>
        <v>409682651</v>
      </c>
      <c r="D13" s="250">
        <f>SUM(D14:D17)</f>
        <v>223625501</v>
      </c>
    </row>
    <row r="14" spans="1:4" s="55" customFormat="1" ht="15" customHeight="1">
      <c r="A14" s="251" t="s">
        <v>133</v>
      </c>
      <c r="B14" s="252">
        <f t="shared" ref="B14:D17" si="1">+B69+B123+B177+B231</f>
        <v>50000000</v>
      </c>
      <c r="C14" s="252">
        <f t="shared" si="1"/>
        <v>50000000</v>
      </c>
      <c r="D14" s="252">
        <f t="shared" si="1"/>
        <v>0</v>
      </c>
    </row>
    <row r="15" spans="1:4" s="55" customFormat="1" ht="15" customHeight="1">
      <c r="A15" s="251" t="s">
        <v>136</v>
      </c>
      <c r="B15" s="252">
        <f t="shared" si="1"/>
        <v>0</v>
      </c>
      <c r="C15" s="252">
        <f t="shared" si="1"/>
        <v>0</v>
      </c>
      <c r="D15" s="252">
        <f t="shared" si="1"/>
        <v>0</v>
      </c>
    </row>
    <row r="16" spans="1:4" s="55" customFormat="1" ht="15" customHeight="1">
      <c r="A16" s="251" t="s">
        <v>113</v>
      </c>
      <c r="B16" s="252">
        <f t="shared" si="1"/>
        <v>296452224</v>
      </c>
      <c r="C16" s="252">
        <f t="shared" si="1"/>
        <v>359682651</v>
      </c>
      <c r="D16" s="252">
        <f t="shared" si="1"/>
        <v>223625501</v>
      </c>
    </row>
    <row r="17" spans="1:4" s="55" customFormat="1" ht="15" customHeight="1">
      <c r="A17" s="251" t="s">
        <v>114</v>
      </c>
      <c r="B17" s="252">
        <f t="shared" si="1"/>
        <v>0</v>
      </c>
      <c r="C17" s="252">
        <f t="shared" si="1"/>
        <v>0</v>
      </c>
      <c r="D17" s="252">
        <f t="shared" si="1"/>
        <v>0</v>
      </c>
    </row>
    <row r="18" spans="1:4" s="55" customFormat="1" ht="15" customHeight="1">
      <c r="A18" s="253" t="s">
        <v>93</v>
      </c>
      <c r="B18" s="254">
        <f>SUM(B19)</f>
        <v>0</v>
      </c>
      <c r="C18" s="254">
        <f>SUM(C19)</f>
        <v>0</v>
      </c>
      <c r="D18" s="254">
        <f>SUM(D19)</f>
        <v>0</v>
      </c>
    </row>
    <row r="19" spans="1:4" s="57" customFormat="1" ht="15" customHeight="1">
      <c r="A19" s="255" t="s">
        <v>115</v>
      </c>
      <c r="B19" s="256"/>
      <c r="C19" s="256"/>
      <c r="D19" s="256"/>
    </row>
    <row r="20" spans="1:4" ht="15" customHeight="1">
      <c r="A20" s="257" t="s">
        <v>308</v>
      </c>
      <c r="B20" s="250">
        <f>+B6+B13+B18</f>
        <v>737719636</v>
      </c>
      <c r="C20" s="250">
        <f>+C6+C13+C18</f>
        <v>737890941</v>
      </c>
      <c r="D20" s="250">
        <f>+D6+D13+D18</f>
        <v>476136666</v>
      </c>
    </row>
    <row r="21" spans="1:4" s="54" customFormat="1" ht="18.75" customHeight="1">
      <c r="A21" s="258"/>
      <c r="B21" s="258"/>
      <c r="C21" s="258"/>
      <c r="D21" s="258"/>
    </row>
    <row r="22" spans="1:4" s="56" customFormat="1" ht="25.5">
      <c r="A22" s="247" t="s">
        <v>312</v>
      </c>
      <c r="B22" s="248">
        <v>2019</v>
      </c>
      <c r="C22" s="248" t="s">
        <v>376</v>
      </c>
      <c r="D22" s="248" t="s">
        <v>377</v>
      </c>
    </row>
    <row r="23" spans="1:4" s="55" customFormat="1" ht="15" customHeight="1">
      <c r="A23" s="249" t="s">
        <v>116</v>
      </c>
      <c r="B23" s="259">
        <f>SUM(B24:B29)</f>
        <v>315454830</v>
      </c>
      <c r="C23" s="259">
        <f>SUM(C24:C29)</f>
        <v>289487412</v>
      </c>
      <c r="D23" s="259">
        <f>SUM(D24:D29)</f>
        <v>252511165</v>
      </c>
    </row>
    <row r="24" spans="1:4" s="55" customFormat="1" ht="15" customHeight="1">
      <c r="A24" s="251" t="s">
        <v>105</v>
      </c>
      <c r="B24" s="260"/>
      <c r="C24" s="260"/>
      <c r="D24" s="260"/>
    </row>
    <row r="25" spans="1:4" s="55" customFormat="1" ht="15" customHeight="1">
      <c r="A25" s="251" t="s">
        <v>106</v>
      </c>
      <c r="B25" s="260">
        <f t="shared" ref="B25:D29" si="2">+B80+B134+B188+B242</f>
        <v>50776207</v>
      </c>
      <c r="C25" s="260">
        <f t="shared" si="2"/>
        <v>52135280</v>
      </c>
      <c r="D25" s="260">
        <f t="shared" si="2"/>
        <v>51861019</v>
      </c>
    </row>
    <row r="26" spans="1:4" s="55" customFormat="1" ht="15" customHeight="1">
      <c r="A26" s="251" t="s">
        <v>107</v>
      </c>
      <c r="B26" s="260">
        <f t="shared" si="2"/>
        <v>14423778</v>
      </c>
      <c r="C26" s="260">
        <f t="shared" si="2"/>
        <v>13825967</v>
      </c>
      <c r="D26" s="260">
        <f t="shared" si="2"/>
        <v>13234786</v>
      </c>
    </row>
    <row r="27" spans="1:4" s="55" customFormat="1" ht="15" customHeight="1">
      <c r="A27" s="251" t="s">
        <v>108</v>
      </c>
      <c r="B27" s="260">
        <f t="shared" si="2"/>
        <v>218958760</v>
      </c>
      <c r="C27" s="260">
        <f t="shared" si="2"/>
        <v>197119416</v>
      </c>
      <c r="D27" s="260">
        <f t="shared" si="2"/>
        <v>170531788</v>
      </c>
    </row>
    <row r="28" spans="1:4" s="55" customFormat="1" ht="15" customHeight="1">
      <c r="A28" s="251" t="s">
        <v>134</v>
      </c>
      <c r="B28" s="260">
        <f t="shared" si="2"/>
        <v>24289877</v>
      </c>
      <c r="C28" s="260">
        <f t="shared" si="2"/>
        <v>21582917</v>
      </c>
      <c r="D28" s="260">
        <f t="shared" si="2"/>
        <v>16544076</v>
      </c>
    </row>
    <row r="29" spans="1:4" s="55" customFormat="1" ht="15" customHeight="1">
      <c r="A29" s="251" t="s">
        <v>135</v>
      </c>
      <c r="B29" s="260">
        <f t="shared" si="2"/>
        <v>7006208</v>
      </c>
      <c r="C29" s="260">
        <f t="shared" si="2"/>
        <v>4823832</v>
      </c>
      <c r="D29" s="260">
        <f t="shared" si="2"/>
        <v>339496</v>
      </c>
    </row>
    <row r="30" spans="1:4" s="55" customFormat="1" ht="15" customHeight="1">
      <c r="A30" s="249" t="s">
        <v>104</v>
      </c>
      <c r="B30" s="259">
        <f>SUM(B31:B34)</f>
        <v>636019478</v>
      </c>
      <c r="C30" s="259">
        <f>SUM(C31:C34)</f>
        <v>479664649</v>
      </c>
      <c r="D30" s="259">
        <f>SUM(D31:D34)</f>
        <v>223625501</v>
      </c>
    </row>
    <row r="31" spans="1:4" s="55" customFormat="1" ht="15" customHeight="1">
      <c r="A31" s="251" t="s">
        <v>133</v>
      </c>
      <c r="B31" s="260">
        <f t="shared" ref="B31:D34" si="3">+B86+B140+B194+B248</f>
        <v>325781663</v>
      </c>
      <c r="C31" s="260">
        <f t="shared" si="3"/>
        <v>165613294</v>
      </c>
      <c r="D31" s="260">
        <f t="shared" si="3"/>
        <v>0</v>
      </c>
    </row>
    <row r="32" spans="1:4" s="55" customFormat="1" ht="15" customHeight="1">
      <c r="A32" s="251" t="s">
        <v>136</v>
      </c>
      <c r="B32" s="260">
        <f t="shared" si="3"/>
        <v>0</v>
      </c>
      <c r="C32" s="260">
        <f t="shared" si="3"/>
        <v>0</v>
      </c>
      <c r="D32" s="260">
        <f t="shared" si="3"/>
        <v>0</v>
      </c>
    </row>
    <row r="33" spans="1:4" s="55" customFormat="1" ht="15" customHeight="1">
      <c r="A33" s="251" t="s">
        <v>113</v>
      </c>
      <c r="B33" s="260">
        <f t="shared" si="3"/>
        <v>310237815</v>
      </c>
      <c r="C33" s="260">
        <f t="shared" si="3"/>
        <v>314051355</v>
      </c>
      <c r="D33" s="260">
        <f t="shared" si="3"/>
        <v>223625501</v>
      </c>
    </row>
    <row r="34" spans="1:4" s="55" customFormat="1" ht="15" customHeight="1">
      <c r="A34" s="251" t="s">
        <v>114</v>
      </c>
      <c r="B34" s="260">
        <f t="shared" si="3"/>
        <v>0</v>
      </c>
      <c r="C34" s="260">
        <f t="shared" si="3"/>
        <v>0</v>
      </c>
      <c r="D34" s="260">
        <f t="shared" si="3"/>
        <v>0</v>
      </c>
    </row>
    <row r="35" spans="1:4" s="55" customFormat="1" ht="15" customHeight="1">
      <c r="A35" s="253" t="s">
        <v>93</v>
      </c>
      <c r="B35" s="261">
        <f>SUM(B36)</f>
        <v>0</v>
      </c>
      <c r="C35" s="261">
        <f>SUM(C36)</f>
        <v>0</v>
      </c>
      <c r="D35" s="261">
        <f>SUM(D36)</f>
        <v>0</v>
      </c>
    </row>
    <row r="36" spans="1:4" s="57" customFormat="1" ht="15" customHeight="1">
      <c r="A36" s="255" t="s">
        <v>115</v>
      </c>
      <c r="B36" s="262"/>
      <c r="C36" s="262"/>
      <c r="D36" s="262"/>
    </row>
    <row r="37" spans="1:4" ht="15" customHeight="1">
      <c r="A37" s="257" t="s">
        <v>309</v>
      </c>
      <c r="B37" s="259">
        <f>SUM(B23+B30+B35)</f>
        <v>951474308</v>
      </c>
      <c r="C37" s="259">
        <f>SUM(C23+C30+C35)</f>
        <v>769152061</v>
      </c>
      <c r="D37" s="259">
        <f>SUM(D23+D30+D35)</f>
        <v>476136666</v>
      </c>
    </row>
    <row r="38" spans="1:4" s="54" customFormat="1" ht="14.25" customHeight="1">
      <c r="A38" s="258"/>
      <c r="B38" s="258"/>
      <c r="C38" s="258"/>
      <c r="D38" s="258"/>
    </row>
    <row r="39" spans="1:4" s="55" customFormat="1" ht="25.5">
      <c r="A39" s="247" t="s">
        <v>311</v>
      </c>
      <c r="B39" s="248">
        <v>2019</v>
      </c>
      <c r="C39" s="248" t="s">
        <v>376</v>
      </c>
      <c r="D39" s="248" t="s">
        <v>377</v>
      </c>
    </row>
    <row r="40" spans="1:4" s="55" customFormat="1" ht="15" customHeight="1">
      <c r="A40" s="249" t="s">
        <v>116</v>
      </c>
      <c r="B40" s="250">
        <f>SUM(B41:B46)</f>
        <v>266299409</v>
      </c>
      <c r="C40" s="250">
        <f>SUM(C41:C46)</f>
        <v>227521209</v>
      </c>
      <c r="D40" s="250">
        <f>SUM(D41:D46)</f>
        <v>252511165</v>
      </c>
    </row>
    <row r="41" spans="1:4" s="55" customFormat="1" ht="15" customHeight="1">
      <c r="A41" s="251" t="s">
        <v>105</v>
      </c>
      <c r="B41" s="252"/>
      <c r="C41" s="252"/>
      <c r="D41" s="252"/>
    </row>
    <row r="42" spans="1:4" s="55" customFormat="1" ht="15" customHeight="1">
      <c r="A42" s="251" t="s">
        <v>106</v>
      </c>
      <c r="B42" s="252">
        <f t="shared" ref="B42:D46" si="4">+B97+B151+B205+B259</f>
        <v>47686231</v>
      </c>
      <c r="C42" s="252">
        <f t="shared" si="4"/>
        <v>48461757</v>
      </c>
      <c r="D42" s="252">
        <f>+D97+D151+D205+D259</f>
        <v>51861019</v>
      </c>
    </row>
    <row r="43" spans="1:4" s="55" customFormat="1" ht="15" customHeight="1">
      <c r="A43" s="251" t="s">
        <v>107</v>
      </c>
      <c r="B43" s="252">
        <f t="shared" si="4"/>
        <v>13799621</v>
      </c>
      <c r="C43" s="252">
        <f t="shared" si="4"/>
        <v>13437847</v>
      </c>
      <c r="D43" s="252">
        <f t="shared" si="4"/>
        <v>13234786</v>
      </c>
    </row>
    <row r="44" spans="1:4" s="55" customFormat="1" ht="15" customHeight="1">
      <c r="A44" s="251" t="s">
        <v>108</v>
      </c>
      <c r="B44" s="252">
        <f t="shared" si="4"/>
        <v>177253282</v>
      </c>
      <c r="C44" s="252">
        <f t="shared" si="4"/>
        <v>146948365</v>
      </c>
      <c r="D44" s="252">
        <f t="shared" si="4"/>
        <v>170531788</v>
      </c>
    </row>
    <row r="45" spans="1:4" s="55" customFormat="1" ht="15" customHeight="1">
      <c r="A45" s="251" t="s">
        <v>134</v>
      </c>
      <c r="B45" s="252">
        <f t="shared" si="4"/>
        <v>24289805</v>
      </c>
      <c r="C45" s="252">
        <f t="shared" si="4"/>
        <v>13910770</v>
      </c>
      <c r="D45" s="252">
        <f t="shared" si="4"/>
        <v>16544076</v>
      </c>
    </row>
    <row r="46" spans="1:4" s="55" customFormat="1" ht="15" customHeight="1">
      <c r="A46" s="251" t="s">
        <v>135</v>
      </c>
      <c r="B46" s="252">
        <f t="shared" si="4"/>
        <v>3270470</v>
      </c>
      <c r="C46" s="252">
        <f t="shared" si="4"/>
        <v>4762470</v>
      </c>
      <c r="D46" s="252">
        <f t="shared" si="4"/>
        <v>339496</v>
      </c>
    </row>
    <row r="47" spans="1:4" s="55" customFormat="1" ht="15" customHeight="1">
      <c r="A47" s="249" t="s">
        <v>104</v>
      </c>
      <c r="B47" s="250">
        <f>SUM(B48:B51)</f>
        <v>587483938</v>
      </c>
      <c r="C47" s="250">
        <f>SUM(C48:C51)</f>
        <v>374510556</v>
      </c>
      <c r="D47" s="250">
        <f>SUM(D48:D51)</f>
        <v>223625501</v>
      </c>
    </row>
    <row r="48" spans="1:4" s="55" customFormat="1" ht="15" customHeight="1">
      <c r="A48" s="251" t="s">
        <v>133</v>
      </c>
      <c r="B48" s="252">
        <f t="shared" ref="B48:D51" si="5">+B103+B157+B211+B265</f>
        <v>325781658</v>
      </c>
      <c r="C48" s="252">
        <f t="shared" si="5"/>
        <v>165613289</v>
      </c>
      <c r="D48" s="252">
        <f t="shared" si="5"/>
        <v>0</v>
      </c>
    </row>
    <row r="49" spans="1:4" s="55" customFormat="1" ht="15" customHeight="1">
      <c r="A49" s="251" t="s">
        <v>136</v>
      </c>
      <c r="B49" s="252">
        <f t="shared" si="5"/>
        <v>0</v>
      </c>
      <c r="C49" s="252">
        <f t="shared" si="5"/>
        <v>0</v>
      </c>
      <c r="D49" s="252">
        <f t="shared" si="5"/>
        <v>0</v>
      </c>
    </row>
    <row r="50" spans="1:4" s="55" customFormat="1" ht="15" customHeight="1">
      <c r="A50" s="251" t="s">
        <v>113</v>
      </c>
      <c r="B50" s="252">
        <f t="shared" si="5"/>
        <v>261702280</v>
      </c>
      <c r="C50" s="252">
        <f t="shared" si="5"/>
        <v>208897267</v>
      </c>
      <c r="D50" s="252">
        <f t="shared" si="5"/>
        <v>223625501</v>
      </c>
    </row>
    <row r="51" spans="1:4" s="57" customFormat="1" ht="15" customHeight="1">
      <c r="A51" s="251" t="s">
        <v>114</v>
      </c>
      <c r="B51" s="252">
        <f t="shared" si="5"/>
        <v>0</v>
      </c>
      <c r="C51" s="252">
        <f t="shared" si="5"/>
        <v>0</v>
      </c>
      <c r="D51" s="252">
        <f t="shared" si="5"/>
        <v>0</v>
      </c>
    </row>
    <row r="52" spans="1:4" ht="15" customHeight="1">
      <c r="A52" s="253" t="s">
        <v>93</v>
      </c>
      <c r="B52" s="254">
        <f>SUM(B53)</f>
        <v>0</v>
      </c>
      <c r="C52" s="254">
        <f>SUM(C53)</f>
        <v>0</v>
      </c>
      <c r="D52" s="254">
        <f>SUM(D53)</f>
        <v>0</v>
      </c>
    </row>
    <row r="53" spans="1:4" ht="15" customHeight="1">
      <c r="A53" s="255" t="s">
        <v>115</v>
      </c>
      <c r="B53" s="256"/>
      <c r="C53" s="256"/>
      <c r="D53" s="256"/>
    </row>
    <row r="54" spans="1:4" ht="15" customHeight="1">
      <c r="A54" s="263" t="s">
        <v>310</v>
      </c>
      <c r="B54" s="250">
        <f>SUM(B40+B47+B52)</f>
        <v>853783347</v>
      </c>
      <c r="C54" s="250">
        <f>SUM(C40+C47+C52)</f>
        <v>602031765</v>
      </c>
      <c r="D54" s="250">
        <f>SUM(D40+D47+D52)</f>
        <v>476136666</v>
      </c>
    </row>
    <row r="55" spans="1:4">
      <c r="A55" s="264" t="s">
        <v>378</v>
      </c>
      <c r="B55" s="258"/>
      <c r="C55" s="258"/>
      <c r="D55" s="258"/>
    </row>
    <row r="56" spans="1:4">
      <c r="A56" s="265" t="s">
        <v>379</v>
      </c>
      <c r="B56" s="258"/>
      <c r="C56" s="258"/>
      <c r="D56" s="258"/>
    </row>
    <row r="57" spans="1:4">
      <c r="A57" s="31"/>
      <c r="B57" s="258"/>
      <c r="C57" s="258"/>
      <c r="D57" s="258"/>
    </row>
    <row r="58" spans="1:4">
      <c r="A58" s="31"/>
      <c r="B58" s="258"/>
      <c r="C58" s="258"/>
      <c r="D58" s="258"/>
    </row>
    <row r="59" spans="1:4">
      <c r="A59" s="245" t="s">
        <v>447</v>
      </c>
      <c r="B59" s="246"/>
      <c r="C59" s="246"/>
      <c r="D59" s="246"/>
    </row>
    <row r="60" spans="1:4" ht="25.5">
      <c r="A60" s="247" t="s">
        <v>313</v>
      </c>
      <c r="B60" s="248">
        <v>2019</v>
      </c>
      <c r="C60" s="248">
        <v>2020</v>
      </c>
      <c r="D60" s="248">
        <v>2021</v>
      </c>
    </row>
    <row r="61" spans="1:4" ht="15" customHeight="1">
      <c r="A61" s="249" t="s">
        <v>116</v>
      </c>
      <c r="B61" s="250">
        <f>SUM(B62:B67)</f>
        <v>65645936</v>
      </c>
      <c r="C61" s="250">
        <f>SUM(C62:C67)</f>
        <v>84024131</v>
      </c>
      <c r="D61" s="250">
        <f>SUM(D62:D67)</f>
        <v>60566161</v>
      </c>
    </row>
    <row r="62" spans="1:4" ht="15" customHeight="1">
      <c r="A62" s="251" t="s">
        <v>105</v>
      </c>
      <c r="B62" s="252"/>
      <c r="C62" s="252"/>
      <c r="D62" s="252"/>
    </row>
    <row r="63" spans="1:4" ht="15" customHeight="1">
      <c r="A63" s="251" t="s">
        <v>106</v>
      </c>
      <c r="B63" s="252">
        <v>44444073</v>
      </c>
      <c r="C63" s="252">
        <v>43902850</v>
      </c>
      <c r="D63" s="252">
        <v>43668318</v>
      </c>
    </row>
    <row r="64" spans="1:4" ht="15" customHeight="1">
      <c r="A64" s="251" t="s">
        <v>107</v>
      </c>
      <c r="B64" s="252">
        <v>8788038</v>
      </c>
      <c r="C64" s="252">
        <v>8911273</v>
      </c>
      <c r="D64" s="252">
        <v>7984321</v>
      </c>
    </row>
    <row r="65" spans="1:4" ht="15" customHeight="1">
      <c r="A65" s="251" t="s">
        <v>108</v>
      </c>
      <c r="B65" s="252">
        <v>11484532</v>
      </c>
      <c r="C65" s="252">
        <v>30710008</v>
      </c>
      <c r="D65" s="252">
        <v>8713522</v>
      </c>
    </row>
    <row r="66" spans="1:4" ht="15" customHeight="1">
      <c r="A66" s="251" t="s">
        <v>134</v>
      </c>
      <c r="B66" s="252">
        <v>0</v>
      </c>
      <c r="C66" s="252">
        <v>0</v>
      </c>
      <c r="D66" s="252">
        <v>0</v>
      </c>
    </row>
    <row r="67" spans="1:4" ht="15" customHeight="1">
      <c r="A67" s="251" t="s">
        <v>135</v>
      </c>
      <c r="B67" s="252">
        <v>929293</v>
      </c>
      <c r="C67" s="252">
        <v>500000</v>
      </c>
      <c r="D67" s="252">
        <v>200000</v>
      </c>
    </row>
    <row r="68" spans="1:4" ht="15" customHeight="1">
      <c r="A68" s="249" t="s">
        <v>104</v>
      </c>
      <c r="B68" s="250">
        <f>SUM(B69:B72)</f>
        <v>14394895</v>
      </c>
      <c r="C68" s="250">
        <f>SUM(C69:C72)</f>
        <v>10902564</v>
      </c>
      <c r="D68" s="250">
        <f>SUM(D69:D72)</f>
        <v>4395332</v>
      </c>
    </row>
    <row r="69" spans="1:4" ht="15" customHeight="1">
      <c r="A69" s="251" t="s">
        <v>133</v>
      </c>
      <c r="B69" s="252"/>
      <c r="C69" s="252"/>
      <c r="D69" s="252"/>
    </row>
    <row r="70" spans="1:4" ht="15" customHeight="1">
      <c r="A70" s="251" t="s">
        <v>136</v>
      </c>
      <c r="B70" s="252"/>
      <c r="C70" s="252"/>
      <c r="D70" s="252"/>
    </row>
    <row r="71" spans="1:4" ht="15" customHeight="1">
      <c r="A71" s="251" t="s">
        <v>113</v>
      </c>
      <c r="B71" s="252">
        <v>14394895</v>
      </c>
      <c r="C71" s="252">
        <v>10902564</v>
      </c>
      <c r="D71" s="252">
        <v>4395332</v>
      </c>
    </row>
    <row r="72" spans="1:4" ht="15" customHeight="1">
      <c r="A72" s="251" t="s">
        <v>114</v>
      </c>
      <c r="B72" s="252"/>
      <c r="C72" s="252"/>
      <c r="D72" s="252"/>
    </row>
    <row r="73" spans="1:4" ht="15" customHeight="1">
      <c r="A73" s="253" t="s">
        <v>93</v>
      </c>
      <c r="B73" s="254">
        <f>SUM(B74)</f>
        <v>0</v>
      </c>
      <c r="C73" s="254">
        <f>SUM(C74)</f>
        <v>0</v>
      </c>
      <c r="D73" s="254">
        <f>SUM(D74)</f>
        <v>0</v>
      </c>
    </row>
    <row r="74" spans="1:4" ht="15" customHeight="1">
      <c r="A74" s="255" t="s">
        <v>115</v>
      </c>
      <c r="B74" s="256"/>
      <c r="C74" s="256"/>
      <c r="D74" s="256"/>
    </row>
    <row r="75" spans="1:4" ht="15" customHeight="1">
      <c r="A75" s="257" t="s">
        <v>308</v>
      </c>
      <c r="B75" s="250">
        <f>+B61+B68+B73</f>
        <v>80040831</v>
      </c>
      <c r="C75" s="250">
        <f>+C61+C68+C73</f>
        <v>94926695</v>
      </c>
      <c r="D75" s="250">
        <f>+D61+D68+D73</f>
        <v>64961493</v>
      </c>
    </row>
    <row r="76" spans="1:4">
      <c r="A76" s="258"/>
      <c r="B76" s="258"/>
      <c r="C76" s="258"/>
      <c r="D76" s="258"/>
    </row>
    <row r="77" spans="1:4" ht="25.5">
      <c r="A77" s="247" t="s">
        <v>312</v>
      </c>
      <c r="B77" s="248">
        <v>2019</v>
      </c>
      <c r="C77" s="248" t="s">
        <v>376</v>
      </c>
      <c r="D77" s="248" t="s">
        <v>377</v>
      </c>
    </row>
    <row r="78" spans="1:4" ht="15" customHeight="1">
      <c r="A78" s="249" t="s">
        <v>116</v>
      </c>
      <c r="B78" s="259">
        <f>SUM(B79:B84)</f>
        <v>65535355</v>
      </c>
      <c r="C78" s="259">
        <f>SUM(C79:C84)</f>
        <v>82272328</v>
      </c>
      <c r="D78" s="259">
        <f>SUM(D79:D84)</f>
        <v>60566161</v>
      </c>
    </row>
    <row r="79" spans="1:4" ht="15" customHeight="1">
      <c r="A79" s="251" t="s">
        <v>105</v>
      </c>
      <c r="B79" s="260"/>
      <c r="C79" s="260"/>
      <c r="D79" s="260"/>
    </row>
    <row r="80" spans="1:4" ht="15" customHeight="1">
      <c r="A80" s="251" t="s">
        <v>106</v>
      </c>
      <c r="B80" s="260">
        <v>43312127</v>
      </c>
      <c r="C80" s="260">
        <v>43961246</v>
      </c>
      <c r="D80" s="260">
        <v>43668318</v>
      </c>
    </row>
    <row r="81" spans="1:4" ht="15" customHeight="1">
      <c r="A81" s="251" t="s">
        <v>107</v>
      </c>
      <c r="B81" s="260">
        <v>8337904</v>
      </c>
      <c r="C81" s="260">
        <v>8570482</v>
      </c>
      <c r="D81" s="260">
        <v>7984321</v>
      </c>
    </row>
    <row r="82" spans="1:4" ht="15" customHeight="1">
      <c r="A82" s="251" t="s">
        <v>108</v>
      </c>
      <c r="B82" s="260">
        <v>11809284</v>
      </c>
      <c r="C82" s="260">
        <v>28619077</v>
      </c>
      <c r="D82" s="260">
        <v>8713522</v>
      </c>
    </row>
    <row r="83" spans="1:4" ht="15" customHeight="1">
      <c r="A83" s="251" t="s">
        <v>134</v>
      </c>
      <c r="B83" s="260">
        <v>292995</v>
      </c>
      <c r="C83" s="260">
        <v>350128</v>
      </c>
      <c r="D83" s="252">
        <v>0</v>
      </c>
    </row>
    <row r="84" spans="1:4" ht="15" customHeight="1">
      <c r="A84" s="251" t="s">
        <v>135</v>
      </c>
      <c r="B84" s="260">
        <v>1783045</v>
      </c>
      <c r="C84" s="260">
        <v>771395</v>
      </c>
      <c r="D84" s="260">
        <v>200000</v>
      </c>
    </row>
    <row r="85" spans="1:4" ht="15" customHeight="1">
      <c r="A85" s="249" t="s">
        <v>104</v>
      </c>
      <c r="B85" s="259">
        <f>SUM(B86:B89)</f>
        <v>13445440</v>
      </c>
      <c r="C85" s="259">
        <f>SUM(C86:C89)</f>
        <v>9408948</v>
      </c>
      <c r="D85" s="259">
        <f>SUM(D86:D89)</f>
        <v>4395332</v>
      </c>
    </row>
    <row r="86" spans="1:4" ht="15" customHeight="1">
      <c r="A86" s="251" t="s">
        <v>133</v>
      </c>
      <c r="B86" s="260">
        <v>0</v>
      </c>
      <c r="C86" s="260"/>
      <c r="D86" s="260"/>
    </row>
    <row r="87" spans="1:4" ht="15" customHeight="1">
      <c r="A87" s="251" t="s">
        <v>136</v>
      </c>
      <c r="B87" s="260"/>
      <c r="C87" s="260"/>
      <c r="D87" s="260"/>
    </row>
    <row r="88" spans="1:4" ht="15" customHeight="1">
      <c r="A88" s="251" t="s">
        <v>113</v>
      </c>
      <c r="B88" s="260">
        <v>13445440</v>
      </c>
      <c r="C88" s="260">
        <v>9408948</v>
      </c>
      <c r="D88" s="260">
        <v>4395332</v>
      </c>
    </row>
    <row r="89" spans="1:4" ht="15" customHeight="1">
      <c r="A89" s="251" t="s">
        <v>114</v>
      </c>
      <c r="B89" s="260"/>
      <c r="C89" s="260"/>
      <c r="D89" s="260"/>
    </row>
    <row r="90" spans="1:4" ht="15" customHeight="1">
      <c r="A90" s="253" t="s">
        <v>93</v>
      </c>
      <c r="B90" s="266">
        <f>SUM(B91)</f>
        <v>0</v>
      </c>
      <c r="C90" s="266">
        <f>SUM(C91)</f>
        <v>0</v>
      </c>
      <c r="D90" s="266">
        <f>SUM(D91)</f>
        <v>0</v>
      </c>
    </row>
    <row r="91" spans="1:4" ht="15" customHeight="1">
      <c r="A91" s="255" t="s">
        <v>115</v>
      </c>
      <c r="B91" s="262"/>
      <c r="C91" s="262"/>
      <c r="D91" s="262"/>
    </row>
    <row r="92" spans="1:4" ht="15" customHeight="1">
      <c r="A92" s="257" t="s">
        <v>309</v>
      </c>
      <c r="B92" s="259">
        <f>SUM(B78+B85+B90)</f>
        <v>78980795</v>
      </c>
      <c r="C92" s="259">
        <f>SUM(C78+C85+C90)</f>
        <v>91681276</v>
      </c>
      <c r="D92" s="259">
        <f>SUM(D78+D85+D90)</f>
        <v>64961493</v>
      </c>
    </row>
    <row r="93" spans="1:4">
      <c r="A93" s="258"/>
      <c r="B93" s="258"/>
      <c r="C93" s="258"/>
      <c r="D93" s="258"/>
    </row>
    <row r="94" spans="1:4" ht="25.5">
      <c r="A94" s="247" t="s">
        <v>311</v>
      </c>
      <c r="B94" s="248">
        <v>2019</v>
      </c>
      <c r="C94" s="248" t="s">
        <v>376</v>
      </c>
      <c r="D94" s="248" t="s">
        <v>377</v>
      </c>
    </row>
    <row r="95" spans="1:4" ht="15" customHeight="1">
      <c r="A95" s="249" t="s">
        <v>116</v>
      </c>
      <c r="B95" s="250">
        <f>SUM(B96:B101)</f>
        <v>59723837</v>
      </c>
      <c r="C95" s="250">
        <f>SUM(C96:C101)</f>
        <v>75261788</v>
      </c>
      <c r="D95" s="250">
        <f>SUM(D96:D101)</f>
        <v>60566161</v>
      </c>
    </row>
    <row r="96" spans="1:4" ht="15" customHeight="1">
      <c r="A96" s="251" t="s">
        <v>105</v>
      </c>
      <c r="B96" s="252"/>
      <c r="C96" s="252"/>
      <c r="D96" s="252"/>
    </row>
    <row r="97" spans="1:4" ht="15" customHeight="1">
      <c r="A97" s="251" t="s">
        <v>106</v>
      </c>
      <c r="B97" s="252">
        <v>41521154</v>
      </c>
      <c r="C97" s="252">
        <v>42047188</v>
      </c>
      <c r="D97" s="252">
        <v>43668318</v>
      </c>
    </row>
    <row r="98" spans="1:4" ht="15" customHeight="1">
      <c r="A98" s="251" t="s">
        <v>107</v>
      </c>
      <c r="B98" s="252">
        <v>8029029</v>
      </c>
      <c r="C98" s="252">
        <v>8182384</v>
      </c>
      <c r="D98" s="252">
        <v>7984321</v>
      </c>
    </row>
    <row r="99" spans="1:4" ht="15" customHeight="1">
      <c r="A99" s="251" t="s">
        <v>108</v>
      </c>
      <c r="B99" s="252">
        <v>8565485</v>
      </c>
      <c r="C99" s="252">
        <v>23912244</v>
      </c>
      <c r="D99" s="252">
        <v>8713522</v>
      </c>
    </row>
    <row r="100" spans="1:4" ht="15" customHeight="1">
      <c r="A100" s="251" t="s">
        <v>134</v>
      </c>
      <c r="B100" s="252">
        <v>292929</v>
      </c>
      <c r="C100" s="252">
        <v>348578</v>
      </c>
      <c r="D100" s="252">
        <v>0</v>
      </c>
    </row>
    <row r="101" spans="1:4" ht="15" customHeight="1">
      <c r="A101" s="251" t="s">
        <v>135</v>
      </c>
      <c r="B101" s="252">
        <v>1315240</v>
      </c>
      <c r="C101" s="252">
        <v>771394</v>
      </c>
      <c r="D101" s="252">
        <v>200000</v>
      </c>
    </row>
    <row r="102" spans="1:4" ht="15" customHeight="1">
      <c r="A102" s="249" t="s">
        <v>104</v>
      </c>
      <c r="B102" s="250">
        <f>SUM(B103:B106)</f>
        <v>12060441</v>
      </c>
      <c r="C102" s="250">
        <f>SUM(C103:C106)</f>
        <v>9408948</v>
      </c>
      <c r="D102" s="250">
        <f>SUM(D103:D106)</f>
        <v>4395332</v>
      </c>
    </row>
    <row r="103" spans="1:4" ht="15" customHeight="1">
      <c r="A103" s="251" t="s">
        <v>133</v>
      </c>
      <c r="B103" s="252">
        <v>0</v>
      </c>
      <c r="C103" s="252"/>
      <c r="D103" s="252"/>
    </row>
    <row r="104" spans="1:4" ht="15" customHeight="1">
      <c r="A104" s="251" t="s">
        <v>136</v>
      </c>
      <c r="B104" s="252"/>
      <c r="C104" s="252"/>
      <c r="D104" s="252"/>
    </row>
    <row r="105" spans="1:4" ht="15" customHeight="1">
      <c r="A105" s="251" t="s">
        <v>113</v>
      </c>
      <c r="B105" s="252">
        <v>12060441</v>
      </c>
      <c r="C105" s="252">
        <v>9408948</v>
      </c>
      <c r="D105" s="252">
        <v>4395332</v>
      </c>
    </row>
    <row r="106" spans="1:4" ht="15" customHeight="1">
      <c r="A106" s="251" t="s">
        <v>114</v>
      </c>
      <c r="B106" s="252"/>
      <c r="C106" s="252"/>
      <c r="D106" s="252"/>
    </row>
    <row r="107" spans="1:4" ht="15" customHeight="1">
      <c r="A107" s="253" t="s">
        <v>93</v>
      </c>
      <c r="B107" s="254">
        <f>SUM(B108)</f>
        <v>0</v>
      </c>
      <c r="C107" s="254">
        <f>SUM(C108)</f>
        <v>0</v>
      </c>
      <c r="D107" s="254">
        <f>SUM(D108)</f>
        <v>0</v>
      </c>
    </row>
    <row r="108" spans="1:4" ht="15" customHeight="1">
      <c r="A108" s="255" t="s">
        <v>115</v>
      </c>
      <c r="B108" s="256"/>
      <c r="C108" s="256"/>
      <c r="D108" s="256"/>
    </row>
    <row r="109" spans="1:4" ht="15" customHeight="1">
      <c r="A109" s="263" t="s">
        <v>310</v>
      </c>
      <c r="B109" s="250">
        <f>SUM(B95+B102+B107)</f>
        <v>71784278</v>
      </c>
      <c r="C109" s="250">
        <f>SUM(C95+C102+C107)</f>
        <v>84670736</v>
      </c>
      <c r="D109" s="250">
        <f>SUM(D95+D102+D107)</f>
        <v>64961493</v>
      </c>
    </row>
    <row r="110" spans="1:4">
      <c r="A110" s="264" t="s">
        <v>378</v>
      </c>
      <c r="B110" s="258"/>
      <c r="C110" s="258"/>
      <c r="D110" s="258"/>
    </row>
    <row r="111" spans="1:4">
      <c r="A111" s="265" t="s">
        <v>379</v>
      </c>
      <c r="B111" s="258"/>
      <c r="C111" s="258"/>
      <c r="D111" s="258"/>
    </row>
    <row r="112" spans="1:4">
      <c r="A112" s="258"/>
      <c r="B112" s="258"/>
      <c r="C112" s="258"/>
      <c r="D112" s="258"/>
    </row>
    <row r="113" spans="1:4">
      <c r="A113" s="245" t="s">
        <v>448</v>
      </c>
      <c r="B113" s="246"/>
      <c r="C113" s="246"/>
      <c r="D113" s="246"/>
    </row>
    <row r="114" spans="1:4" ht="25.5">
      <c r="A114" s="247" t="s">
        <v>313</v>
      </c>
      <c r="B114" s="248">
        <v>2019</v>
      </c>
      <c r="C114" s="248">
        <v>2020</v>
      </c>
      <c r="D114" s="248">
        <v>2021</v>
      </c>
    </row>
    <row r="115" spans="1:4" ht="15" customHeight="1">
      <c r="A115" s="249" t="s">
        <v>116</v>
      </c>
      <c r="B115" s="250">
        <f>SUM(B116:B121)</f>
        <v>315458800</v>
      </c>
      <c r="C115" s="250">
        <f>SUM(C116:C121)</f>
        <v>242184159</v>
      </c>
      <c r="D115" s="250">
        <f>SUM(D116:D121)</f>
        <v>185105804</v>
      </c>
    </row>
    <row r="116" spans="1:4" ht="15" customHeight="1">
      <c r="A116" s="251" t="s">
        <v>105</v>
      </c>
      <c r="B116" s="252"/>
      <c r="C116" s="252"/>
      <c r="D116" s="252"/>
    </row>
    <row r="117" spans="1:4" ht="15" customHeight="1">
      <c r="A117" s="251" t="s">
        <v>106</v>
      </c>
      <c r="B117" s="252">
        <v>7982188</v>
      </c>
      <c r="C117" s="252">
        <v>7865108</v>
      </c>
      <c r="D117" s="252">
        <v>8192701</v>
      </c>
    </row>
    <row r="118" spans="1:4" ht="15" customHeight="1">
      <c r="A118" s="251" t="s">
        <v>107</v>
      </c>
      <c r="B118" s="252">
        <v>6671233</v>
      </c>
      <c r="C118" s="252">
        <v>4972251</v>
      </c>
      <c r="D118" s="252">
        <v>5250465</v>
      </c>
    </row>
    <row r="119" spans="1:4" ht="15" customHeight="1">
      <c r="A119" s="251" t="s">
        <v>108</v>
      </c>
      <c r="B119" s="252">
        <v>188913452</v>
      </c>
      <c r="C119" s="252">
        <v>202772304</v>
      </c>
      <c r="D119" s="252">
        <v>154979066</v>
      </c>
    </row>
    <row r="120" spans="1:4" ht="15" customHeight="1">
      <c r="A120" s="251" t="s">
        <v>134</v>
      </c>
      <c r="B120" s="252">
        <v>109256624</v>
      </c>
      <c r="C120" s="252">
        <v>26435000</v>
      </c>
      <c r="D120" s="252">
        <v>16544076</v>
      </c>
    </row>
    <row r="121" spans="1:4" ht="15" customHeight="1">
      <c r="A121" s="251" t="s">
        <v>135</v>
      </c>
      <c r="B121" s="252">
        <v>2635303</v>
      </c>
      <c r="C121" s="252">
        <v>139496</v>
      </c>
      <c r="D121" s="252">
        <v>139496</v>
      </c>
    </row>
    <row r="122" spans="1:4" ht="15" customHeight="1">
      <c r="A122" s="249" t="s">
        <v>104</v>
      </c>
      <c r="B122" s="250">
        <f>SUM(B123:B126)</f>
        <v>55405138</v>
      </c>
      <c r="C122" s="250">
        <f>SUM(C123:C126)</f>
        <v>176939042</v>
      </c>
      <c r="D122" s="250">
        <f>SUM(D123:D126)</f>
        <v>114787834</v>
      </c>
    </row>
    <row r="123" spans="1:4" ht="15" customHeight="1">
      <c r="A123" s="251" t="s">
        <v>133</v>
      </c>
      <c r="B123" s="252">
        <v>0</v>
      </c>
      <c r="C123" s="252">
        <v>50000000</v>
      </c>
      <c r="D123" s="252"/>
    </row>
    <row r="124" spans="1:4" ht="15" customHeight="1">
      <c r="A124" s="251" t="s">
        <v>136</v>
      </c>
      <c r="B124" s="252"/>
      <c r="C124" s="252">
        <v>0</v>
      </c>
      <c r="D124" s="267"/>
    </row>
    <row r="125" spans="1:4" ht="15" customHeight="1">
      <c r="A125" s="251" t="s">
        <v>113</v>
      </c>
      <c r="B125" s="252">
        <v>55405138</v>
      </c>
      <c r="C125" s="252">
        <v>126939042</v>
      </c>
      <c r="D125" s="252">
        <v>114787834</v>
      </c>
    </row>
    <row r="126" spans="1:4" ht="15" customHeight="1">
      <c r="A126" s="251" t="s">
        <v>114</v>
      </c>
      <c r="B126" s="252"/>
      <c r="C126" s="252"/>
      <c r="D126" s="252"/>
    </row>
    <row r="127" spans="1:4" ht="15" customHeight="1">
      <c r="A127" s="253" t="s">
        <v>93</v>
      </c>
      <c r="B127" s="254">
        <f>SUM(B128)</f>
        <v>0</v>
      </c>
      <c r="C127" s="254">
        <f>SUM(C128)</f>
        <v>0</v>
      </c>
      <c r="D127" s="254">
        <f>SUM(D128)</f>
        <v>0</v>
      </c>
    </row>
    <row r="128" spans="1:4" ht="15" customHeight="1">
      <c r="A128" s="255" t="s">
        <v>115</v>
      </c>
      <c r="B128" s="256"/>
      <c r="C128" s="256"/>
      <c r="D128" s="256"/>
    </row>
    <row r="129" spans="1:4" ht="15" customHeight="1">
      <c r="A129" s="257" t="s">
        <v>308</v>
      </c>
      <c r="B129" s="250">
        <f>+B115+B122+B127</f>
        <v>370863938</v>
      </c>
      <c r="C129" s="250">
        <f>+C115+C122+C127</f>
        <v>419123201</v>
      </c>
      <c r="D129" s="250">
        <f>+D115+D122+D127</f>
        <v>299893638</v>
      </c>
    </row>
    <row r="130" spans="1:4">
      <c r="A130" s="258"/>
      <c r="B130" s="258"/>
      <c r="C130" s="258"/>
      <c r="D130" s="258"/>
    </row>
    <row r="131" spans="1:4" ht="25.5">
      <c r="A131" s="247" t="s">
        <v>312</v>
      </c>
      <c r="B131" s="248">
        <v>2019</v>
      </c>
      <c r="C131" s="248" t="s">
        <v>376</v>
      </c>
      <c r="D131" s="248" t="s">
        <v>377</v>
      </c>
    </row>
    <row r="132" spans="1:4" ht="15" customHeight="1">
      <c r="A132" s="249" t="s">
        <v>116</v>
      </c>
      <c r="B132" s="259">
        <f>SUM(B133:B138)</f>
        <v>240029089</v>
      </c>
      <c r="C132" s="259">
        <f>SUM(C133:C138)</f>
        <v>204641451</v>
      </c>
      <c r="D132" s="259">
        <f>SUM(D133:D138)</f>
        <v>185105804</v>
      </c>
    </row>
    <row r="133" spans="1:4" ht="15" customHeight="1">
      <c r="A133" s="251" t="s">
        <v>105</v>
      </c>
      <c r="B133" s="260"/>
      <c r="C133" s="260"/>
      <c r="D133" s="260"/>
    </row>
    <row r="134" spans="1:4" ht="15" customHeight="1">
      <c r="A134" s="251" t="s">
        <v>106</v>
      </c>
      <c r="B134" s="260">
        <v>7444029</v>
      </c>
      <c r="C134" s="260">
        <v>8174034</v>
      </c>
      <c r="D134" s="260">
        <v>8192701</v>
      </c>
    </row>
    <row r="135" spans="1:4" ht="15" customHeight="1">
      <c r="A135" s="251" t="s">
        <v>107</v>
      </c>
      <c r="B135" s="260">
        <v>6085874</v>
      </c>
      <c r="C135" s="260">
        <v>5255485</v>
      </c>
      <c r="D135" s="260">
        <v>5250465</v>
      </c>
    </row>
    <row r="136" spans="1:4" ht="15" customHeight="1">
      <c r="A136" s="251" t="s">
        <v>108</v>
      </c>
      <c r="B136" s="260">
        <v>197767439</v>
      </c>
      <c r="C136" s="260">
        <f>202771822-27415296-9075016</f>
        <v>166281510</v>
      </c>
      <c r="D136" s="260">
        <v>154979066</v>
      </c>
    </row>
    <row r="137" spans="1:4" ht="15" customHeight="1">
      <c r="A137" s="251" t="s">
        <v>134</v>
      </c>
      <c r="B137" s="260">
        <v>23626882</v>
      </c>
      <c r="C137" s="260">
        <v>21232789</v>
      </c>
      <c r="D137" s="260">
        <v>16544076</v>
      </c>
    </row>
    <row r="138" spans="1:4" ht="15" customHeight="1">
      <c r="A138" s="251" t="s">
        <v>135</v>
      </c>
      <c r="B138" s="260">
        <v>5104865</v>
      </c>
      <c r="C138" s="260">
        <v>3697633</v>
      </c>
      <c r="D138" s="260">
        <v>139496</v>
      </c>
    </row>
    <row r="139" spans="1:4" ht="15" customHeight="1">
      <c r="A139" s="249" t="s">
        <v>104</v>
      </c>
      <c r="B139" s="259">
        <f>SUM(B140:B143)</f>
        <v>76777077</v>
      </c>
      <c r="C139" s="259">
        <f>SUM(C140:C143)</f>
        <v>133342546</v>
      </c>
      <c r="D139" s="259">
        <f>SUM(D140:D143)</f>
        <v>114787834</v>
      </c>
    </row>
    <row r="140" spans="1:4" ht="15" customHeight="1">
      <c r="A140" s="251" t="s">
        <v>133</v>
      </c>
      <c r="B140" s="260">
        <v>7505000</v>
      </c>
      <c r="C140" s="260">
        <v>50000000</v>
      </c>
      <c r="D140" s="260"/>
    </row>
    <row r="141" spans="1:4" ht="15" customHeight="1">
      <c r="A141" s="251" t="s">
        <v>136</v>
      </c>
      <c r="B141" s="260"/>
      <c r="C141" s="260">
        <v>0</v>
      </c>
      <c r="D141" s="260"/>
    </row>
    <row r="142" spans="1:4" ht="15" customHeight="1">
      <c r="A142" s="251" t="s">
        <v>113</v>
      </c>
      <c r="B142" s="260">
        <v>69272077</v>
      </c>
      <c r="C142" s="260">
        <f>128839049-45496503</f>
        <v>83342546</v>
      </c>
      <c r="D142" s="260">
        <v>114787834</v>
      </c>
    </row>
    <row r="143" spans="1:4" ht="15" customHeight="1">
      <c r="A143" s="251" t="s">
        <v>114</v>
      </c>
      <c r="B143" s="260"/>
      <c r="C143" s="260"/>
      <c r="D143" s="260"/>
    </row>
    <row r="144" spans="1:4" ht="15" customHeight="1">
      <c r="A144" s="253" t="s">
        <v>93</v>
      </c>
      <c r="B144" s="261">
        <f>SUM(B145)</f>
        <v>0</v>
      </c>
      <c r="C144" s="261">
        <f>SUM(C145)</f>
        <v>0</v>
      </c>
      <c r="D144" s="261">
        <f>SUM(D145)</f>
        <v>0</v>
      </c>
    </row>
    <row r="145" spans="1:4" ht="15" customHeight="1">
      <c r="A145" s="255" t="s">
        <v>115</v>
      </c>
      <c r="B145" s="262"/>
      <c r="C145" s="262"/>
      <c r="D145" s="262"/>
    </row>
    <row r="146" spans="1:4" ht="15" customHeight="1">
      <c r="A146" s="257" t="s">
        <v>309</v>
      </c>
      <c r="B146" s="259">
        <f>SUM(B132+B139+B144)</f>
        <v>316806166</v>
      </c>
      <c r="C146" s="259">
        <f>SUM(C132+C139+C144)</f>
        <v>337983997</v>
      </c>
      <c r="D146" s="259">
        <f>SUM(D132+D139+D144)</f>
        <v>299893638</v>
      </c>
    </row>
    <row r="147" spans="1:4">
      <c r="A147" s="258"/>
      <c r="B147" s="258"/>
      <c r="C147" s="258"/>
      <c r="D147" s="258"/>
    </row>
    <row r="148" spans="1:4" ht="25.5">
      <c r="A148" s="247" t="s">
        <v>311</v>
      </c>
      <c r="B148" s="248">
        <v>2019</v>
      </c>
      <c r="C148" s="248" t="s">
        <v>376</v>
      </c>
      <c r="D148" s="248" t="s">
        <v>377</v>
      </c>
    </row>
    <row r="149" spans="1:4" ht="15" customHeight="1">
      <c r="A149" s="249" t="s">
        <v>116</v>
      </c>
      <c r="B149" s="250">
        <f>SUM(B151:B155)</f>
        <v>200101620</v>
      </c>
      <c r="C149" s="250">
        <f>SUM(C150:C155)</f>
        <v>149685788</v>
      </c>
      <c r="D149" s="250">
        <f>SUM(D150:D155)</f>
        <v>185105804</v>
      </c>
    </row>
    <row r="150" spans="1:4" ht="15" customHeight="1">
      <c r="A150" s="251" t="s">
        <v>105</v>
      </c>
      <c r="B150" s="268"/>
      <c r="C150" s="252"/>
      <c r="D150" s="252"/>
    </row>
    <row r="151" spans="1:4" ht="15" customHeight="1">
      <c r="A151" s="251" t="s">
        <v>106</v>
      </c>
      <c r="B151" s="252">
        <v>6145027</v>
      </c>
      <c r="C151" s="252">
        <v>6414569</v>
      </c>
      <c r="D151" s="252">
        <v>8192701</v>
      </c>
    </row>
    <row r="152" spans="1:4" ht="15" customHeight="1">
      <c r="A152" s="251" t="s">
        <v>107</v>
      </c>
      <c r="B152" s="252">
        <v>5770592</v>
      </c>
      <c r="C152" s="252">
        <v>5255463</v>
      </c>
      <c r="D152" s="252">
        <v>5250465</v>
      </c>
    </row>
    <row r="153" spans="1:4" ht="15" customHeight="1">
      <c r="A153" s="251" t="s">
        <v>108</v>
      </c>
      <c r="B153" s="252">
        <v>162672719</v>
      </c>
      <c r="C153" s="252">
        <v>120817292</v>
      </c>
      <c r="D153" s="252">
        <v>154979066</v>
      </c>
    </row>
    <row r="154" spans="1:4" ht="15" customHeight="1">
      <c r="A154" s="251" t="s">
        <v>134</v>
      </c>
      <c r="B154" s="252">
        <v>23626876</v>
      </c>
      <c r="C154" s="252">
        <v>13562192</v>
      </c>
      <c r="D154" s="252">
        <v>16544076</v>
      </c>
    </row>
    <row r="155" spans="1:4" ht="15" customHeight="1">
      <c r="A155" s="251" t="s">
        <v>135</v>
      </c>
      <c r="B155" s="252">
        <v>1886406</v>
      </c>
      <c r="C155" s="252">
        <v>3636272</v>
      </c>
      <c r="D155" s="252">
        <v>139496</v>
      </c>
    </row>
    <row r="156" spans="1:4" ht="15" customHeight="1">
      <c r="A156" s="249" t="s">
        <v>104</v>
      </c>
      <c r="B156" s="250">
        <f>SUM(B157:B160)</f>
        <v>70253630</v>
      </c>
      <c r="C156" s="250">
        <f>SUM(C157:C160)</f>
        <v>136802129</v>
      </c>
      <c r="D156" s="250">
        <f>SUM(D157:D160)</f>
        <v>114787834</v>
      </c>
    </row>
    <row r="157" spans="1:4" ht="15" customHeight="1">
      <c r="A157" s="251" t="s">
        <v>133</v>
      </c>
      <c r="B157" s="252">
        <v>7505000</v>
      </c>
      <c r="C157" s="252">
        <v>49999995</v>
      </c>
      <c r="D157" s="252"/>
    </row>
    <row r="158" spans="1:4" ht="15" customHeight="1">
      <c r="A158" s="251" t="s">
        <v>136</v>
      </c>
      <c r="B158" s="252"/>
      <c r="C158" s="252">
        <v>0</v>
      </c>
      <c r="D158" s="252"/>
    </row>
    <row r="159" spans="1:4" ht="15" customHeight="1">
      <c r="A159" s="251" t="s">
        <v>113</v>
      </c>
      <c r="B159" s="252">
        <v>62748630</v>
      </c>
      <c r="C159" s="252">
        <v>86802134</v>
      </c>
      <c r="D159" s="252">
        <v>114787834</v>
      </c>
    </row>
    <row r="160" spans="1:4" ht="15" customHeight="1">
      <c r="A160" s="251" t="s">
        <v>114</v>
      </c>
      <c r="B160" s="252"/>
      <c r="C160" s="252"/>
      <c r="D160" s="252"/>
    </row>
    <row r="161" spans="1:4" ht="15" customHeight="1">
      <c r="A161" s="253" t="s">
        <v>93</v>
      </c>
      <c r="B161" s="254">
        <f>SUM(B162)</f>
        <v>0</v>
      </c>
      <c r="C161" s="254">
        <f>SUM(C162)</f>
        <v>0</v>
      </c>
      <c r="D161" s="254">
        <f>SUM(D162)</f>
        <v>0</v>
      </c>
    </row>
    <row r="162" spans="1:4" ht="15" customHeight="1">
      <c r="A162" s="255" t="s">
        <v>115</v>
      </c>
      <c r="B162" s="256"/>
      <c r="C162" s="256"/>
      <c r="D162" s="256"/>
    </row>
    <row r="163" spans="1:4" ht="15" customHeight="1">
      <c r="A163" s="263" t="s">
        <v>310</v>
      </c>
      <c r="B163" s="250">
        <f>SUM(B149+B156+B161)</f>
        <v>270355250</v>
      </c>
      <c r="C163" s="250">
        <f>SUM(C149+C156+C161)</f>
        <v>286487917</v>
      </c>
      <c r="D163" s="250">
        <f>SUM(D149+D156+D161)</f>
        <v>299893638</v>
      </c>
    </row>
    <row r="164" spans="1:4">
      <c r="A164" s="264" t="s">
        <v>378</v>
      </c>
      <c r="B164" s="258"/>
      <c r="C164" s="258"/>
      <c r="D164" s="258"/>
    </row>
    <row r="165" spans="1:4">
      <c r="A165" s="265" t="s">
        <v>379</v>
      </c>
      <c r="B165" s="258"/>
      <c r="C165" s="258"/>
      <c r="D165" s="258"/>
    </row>
    <row r="166" spans="1:4">
      <c r="A166" s="258"/>
      <c r="B166" s="258"/>
      <c r="C166" s="258"/>
      <c r="D166" s="258"/>
    </row>
    <row r="167" spans="1:4">
      <c r="A167" s="245" t="s">
        <v>449</v>
      </c>
      <c r="B167" s="246"/>
      <c r="C167" s="246"/>
      <c r="D167" s="246"/>
    </row>
    <row r="168" spans="1:4" ht="25.5">
      <c r="A168" s="247" t="s">
        <v>313</v>
      </c>
      <c r="B168" s="248">
        <v>2019</v>
      </c>
      <c r="C168" s="248">
        <v>2020</v>
      </c>
      <c r="D168" s="248">
        <v>2021</v>
      </c>
    </row>
    <row r="169" spans="1:4" ht="15" customHeight="1">
      <c r="A169" s="249" t="s">
        <v>116</v>
      </c>
      <c r="B169" s="250">
        <f>SUM(B170:B175)</f>
        <v>10162676</v>
      </c>
      <c r="C169" s="250">
        <f>SUM(C170:C175)</f>
        <v>2000000</v>
      </c>
      <c r="D169" s="250">
        <f>SUM(D170:D175)</f>
        <v>6839200</v>
      </c>
    </row>
    <row r="170" spans="1:4" ht="15" customHeight="1">
      <c r="A170" s="251" t="s">
        <v>105</v>
      </c>
      <c r="B170" s="252"/>
      <c r="C170" s="252">
        <v>0</v>
      </c>
      <c r="D170" s="252"/>
    </row>
    <row r="171" spans="1:4" ht="15" customHeight="1">
      <c r="A171" s="251" t="s">
        <v>106</v>
      </c>
      <c r="B171" s="252"/>
      <c r="C171" s="252">
        <v>0</v>
      </c>
      <c r="D171" s="252"/>
    </row>
    <row r="172" spans="1:4" ht="15" customHeight="1">
      <c r="A172" s="251" t="s">
        <v>107</v>
      </c>
      <c r="B172" s="252"/>
      <c r="C172" s="252">
        <v>0</v>
      </c>
      <c r="D172" s="252"/>
    </row>
    <row r="173" spans="1:4" ht="15" customHeight="1">
      <c r="A173" s="251" t="s">
        <v>108</v>
      </c>
      <c r="B173" s="252">
        <v>9792676</v>
      </c>
      <c r="C173" s="252">
        <v>2000000</v>
      </c>
      <c r="D173" s="252">
        <v>6839200</v>
      </c>
    </row>
    <row r="174" spans="1:4" ht="15" customHeight="1">
      <c r="A174" s="251" t="s">
        <v>134</v>
      </c>
      <c r="B174" s="252">
        <v>370000</v>
      </c>
      <c r="C174" s="252">
        <v>0</v>
      </c>
      <c r="D174" s="252"/>
    </row>
    <row r="175" spans="1:4" ht="15" customHeight="1">
      <c r="A175" s="251" t="s">
        <v>135</v>
      </c>
      <c r="B175" s="252"/>
      <c r="C175" s="252">
        <v>0</v>
      </c>
      <c r="D175" s="252"/>
    </row>
    <row r="176" spans="1:4" ht="15" customHeight="1">
      <c r="A176" s="249" t="s">
        <v>104</v>
      </c>
      <c r="B176" s="250">
        <f>SUM(B177:B180)</f>
        <v>5076366</v>
      </c>
      <c r="C176" s="250">
        <f>SUM(C177:C180)</f>
        <v>1145322</v>
      </c>
      <c r="D176" s="250">
        <f>SUM(D177:D180)</f>
        <v>0</v>
      </c>
    </row>
    <row r="177" spans="1:4" ht="15" customHeight="1">
      <c r="A177" s="251" t="s">
        <v>133</v>
      </c>
      <c r="B177" s="252"/>
      <c r="C177" s="252">
        <v>0</v>
      </c>
      <c r="D177" s="252"/>
    </row>
    <row r="178" spans="1:4" ht="15" customHeight="1">
      <c r="A178" s="251" t="s">
        <v>136</v>
      </c>
      <c r="B178" s="252"/>
      <c r="C178" s="252">
        <v>0</v>
      </c>
      <c r="D178" s="267"/>
    </row>
    <row r="179" spans="1:4" ht="15" customHeight="1">
      <c r="A179" s="251" t="s">
        <v>113</v>
      </c>
      <c r="B179" s="252">
        <v>5076366</v>
      </c>
      <c r="C179" s="252">
        <v>1145322</v>
      </c>
      <c r="D179" s="252"/>
    </row>
    <row r="180" spans="1:4" ht="15" customHeight="1">
      <c r="A180" s="251" t="s">
        <v>114</v>
      </c>
      <c r="B180" s="252"/>
      <c r="C180" s="252">
        <v>0</v>
      </c>
      <c r="D180" s="252"/>
    </row>
    <row r="181" spans="1:4" ht="15" customHeight="1">
      <c r="A181" s="253" t="s">
        <v>93</v>
      </c>
      <c r="B181" s="254">
        <f>SUM(B182)</f>
        <v>0</v>
      </c>
      <c r="C181" s="254">
        <f>SUM(C182)</f>
        <v>0</v>
      </c>
      <c r="D181" s="254">
        <f>SUM(D182)</f>
        <v>0</v>
      </c>
    </row>
    <row r="182" spans="1:4" ht="15" customHeight="1">
      <c r="A182" s="255" t="s">
        <v>115</v>
      </c>
      <c r="B182" s="256"/>
      <c r="C182" s="256"/>
      <c r="D182" s="256"/>
    </row>
    <row r="183" spans="1:4" ht="15" customHeight="1">
      <c r="A183" s="257" t="s">
        <v>308</v>
      </c>
      <c r="B183" s="250">
        <f>+B169+B176+B181</f>
        <v>15239042</v>
      </c>
      <c r="C183" s="250">
        <f>+C169+C176+C181</f>
        <v>3145322</v>
      </c>
      <c r="D183" s="250">
        <f>+D169+D176+D181</f>
        <v>6839200</v>
      </c>
    </row>
    <row r="184" spans="1:4">
      <c r="A184" s="258"/>
      <c r="B184" s="258"/>
      <c r="C184" s="258"/>
      <c r="D184" s="258"/>
    </row>
    <row r="185" spans="1:4" ht="25.5">
      <c r="A185" s="247" t="s">
        <v>312</v>
      </c>
      <c r="B185" s="248">
        <v>2019</v>
      </c>
      <c r="C185" s="248" t="s">
        <v>376</v>
      </c>
      <c r="D185" s="248" t="s">
        <v>377</v>
      </c>
    </row>
    <row r="186" spans="1:4" ht="15" customHeight="1">
      <c r="A186" s="249" t="s">
        <v>116</v>
      </c>
      <c r="B186" s="259">
        <f>SUM(B187:B192)</f>
        <v>9890386</v>
      </c>
      <c r="C186" s="259">
        <f>SUM(C187:C192)</f>
        <v>2573633</v>
      </c>
      <c r="D186" s="259">
        <f>SUM(D187:D192)</f>
        <v>6839200</v>
      </c>
    </row>
    <row r="187" spans="1:4" ht="15" customHeight="1">
      <c r="A187" s="251" t="s">
        <v>105</v>
      </c>
      <c r="B187" s="260"/>
      <c r="C187" s="260">
        <v>0</v>
      </c>
      <c r="D187" s="260"/>
    </row>
    <row r="188" spans="1:4" ht="15" customHeight="1">
      <c r="A188" s="251" t="s">
        <v>106</v>
      </c>
      <c r="B188" s="260">
        <v>20051</v>
      </c>
      <c r="C188" s="260">
        <v>0</v>
      </c>
      <c r="D188" s="260"/>
    </row>
    <row r="189" spans="1:4" ht="15" customHeight="1">
      <c r="A189" s="251" t="s">
        <v>107</v>
      </c>
      <c r="B189" s="260"/>
      <c r="C189" s="260">
        <v>0</v>
      </c>
      <c r="D189" s="260"/>
    </row>
    <row r="190" spans="1:4" ht="15" customHeight="1">
      <c r="A190" s="251" t="s">
        <v>108</v>
      </c>
      <c r="B190" s="260">
        <v>9382037</v>
      </c>
      <c r="C190" s="260">
        <v>2218829</v>
      </c>
      <c r="D190" s="252">
        <v>6839200</v>
      </c>
    </row>
    <row r="191" spans="1:4" ht="15" customHeight="1">
      <c r="A191" s="251" t="s">
        <v>134</v>
      </c>
      <c r="B191" s="260">
        <v>370000</v>
      </c>
      <c r="C191" s="260">
        <v>0</v>
      </c>
      <c r="D191" s="260"/>
    </row>
    <row r="192" spans="1:4" ht="15" customHeight="1">
      <c r="A192" s="251" t="s">
        <v>135</v>
      </c>
      <c r="B192" s="260">
        <v>118298</v>
      </c>
      <c r="C192" s="260">
        <v>354804</v>
      </c>
      <c r="D192" s="260"/>
    </row>
    <row r="193" spans="1:4" ht="15" customHeight="1">
      <c r="A193" s="249" t="s">
        <v>104</v>
      </c>
      <c r="B193" s="259">
        <f>SUM(B194:B197)</f>
        <v>6799134</v>
      </c>
      <c r="C193" s="259">
        <f>SUM(C194:C197)</f>
        <v>4485787</v>
      </c>
      <c r="D193" s="259">
        <f>SUM(D194:D197)</f>
        <v>0</v>
      </c>
    </row>
    <row r="194" spans="1:4" ht="15" customHeight="1">
      <c r="A194" s="251" t="s">
        <v>133</v>
      </c>
      <c r="B194" s="260"/>
      <c r="C194" s="260">
        <v>0</v>
      </c>
      <c r="D194" s="260"/>
    </row>
    <row r="195" spans="1:4" ht="15" customHeight="1">
      <c r="A195" s="251" t="s">
        <v>136</v>
      </c>
      <c r="B195" s="260"/>
      <c r="C195" s="260">
        <v>0</v>
      </c>
      <c r="D195" s="260"/>
    </row>
    <row r="196" spans="1:4" ht="15" customHeight="1">
      <c r="A196" s="251" t="s">
        <v>113</v>
      </c>
      <c r="B196" s="260">
        <v>6799134</v>
      </c>
      <c r="C196" s="260">
        <v>4485787</v>
      </c>
      <c r="D196" s="252"/>
    </row>
    <row r="197" spans="1:4" ht="15" customHeight="1">
      <c r="A197" s="251" t="s">
        <v>114</v>
      </c>
      <c r="B197" s="260"/>
      <c r="C197" s="260">
        <v>0</v>
      </c>
      <c r="D197" s="260"/>
    </row>
    <row r="198" spans="1:4" ht="15" customHeight="1">
      <c r="A198" s="253" t="s">
        <v>93</v>
      </c>
      <c r="B198" s="261">
        <f>SUM(B199)</f>
        <v>0</v>
      </c>
      <c r="C198" s="261">
        <f>SUM(C199)</f>
        <v>0</v>
      </c>
      <c r="D198" s="261">
        <f>SUM(D199)</f>
        <v>0</v>
      </c>
    </row>
    <row r="199" spans="1:4" ht="15" customHeight="1">
      <c r="A199" s="255" t="s">
        <v>115</v>
      </c>
      <c r="B199" s="262"/>
      <c r="C199" s="262"/>
      <c r="D199" s="262"/>
    </row>
    <row r="200" spans="1:4" ht="15" customHeight="1">
      <c r="A200" s="257" t="s">
        <v>309</v>
      </c>
      <c r="B200" s="259">
        <f>SUM(B186+B193+B198)</f>
        <v>16689520</v>
      </c>
      <c r="C200" s="259">
        <f>SUM(C186+C193+C198)</f>
        <v>7059420</v>
      </c>
      <c r="D200" s="259">
        <f>SUM(D186+D193+D198)</f>
        <v>6839200</v>
      </c>
    </row>
    <row r="201" spans="1:4">
      <c r="A201" s="258"/>
      <c r="B201" s="258"/>
      <c r="C201" s="258"/>
      <c r="D201" s="258"/>
    </row>
    <row r="202" spans="1:4" ht="25.5">
      <c r="A202" s="247" t="s">
        <v>311</v>
      </c>
      <c r="B202" s="248">
        <v>2019</v>
      </c>
      <c r="C202" s="248" t="s">
        <v>376</v>
      </c>
      <c r="D202" s="248" t="s">
        <v>377</v>
      </c>
    </row>
    <row r="203" spans="1:4" ht="15" customHeight="1">
      <c r="A203" s="249" t="s">
        <v>116</v>
      </c>
      <c r="B203" s="250">
        <f>SUM(B205:B209)</f>
        <v>6473952</v>
      </c>
      <c r="C203" s="250">
        <f>SUM(C204:C209)</f>
        <v>2573633</v>
      </c>
      <c r="D203" s="250">
        <f>SUM(D204:D209)</f>
        <v>6839200</v>
      </c>
    </row>
    <row r="204" spans="1:4" ht="15" customHeight="1">
      <c r="A204" s="251" t="s">
        <v>105</v>
      </c>
      <c r="B204" s="268"/>
      <c r="C204" s="252">
        <v>0</v>
      </c>
      <c r="D204" s="252"/>
    </row>
    <row r="205" spans="1:4" ht="15" customHeight="1">
      <c r="A205" s="251" t="s">
        <v>106</v>
      </c>
      <c r="B205" s="252">
        <v>20050</v>
      </c>
      <c r="C205" s="252">
        <v>0</v>
      </c>
      <c r="D205" s="252"/>
    </row>
    <row r="206" spans="1:4" ht="15" customHeight="1">
      <c r="A206" s="251" t="s">
        <v>107</v>
      </c>
      <c r="B206" s="252">
        <v>0</v>
      </c>
      <c r="C206" s="252">
        <v>0</v>
      </c>
      <c r="D206" s="252"/>
    </row>
    <row r="207" spans="1:4" ht="15" customHeight="1">
      <c r="A207" s="251" t="s">
        <v>108</v>
      </c>
      <c r="B207" s="252">
        <v>6015078</v>
      </c>
      <c r="C207" s="252">
        <v>2218829</v>
      </c>
      <c r="D207" s="252">
        <v>6839200</v>
      </c>
    </row>
    <row r="208" spans="1:4" ht="15" customHeight="1">
      <c r="A208" s="251" t="s">
        <v>134</v>
      </c>
      <c r="B208" s="252">
        <v>370000</v>
      </c>
      <c r="C208" s="252">
        <v>0</v>
      </c>
      <c r="D208" s="252"/>
    </row>
    <row r="209" spans="1:4" ht="15" customHeight="1">
      <c r="A209" s="251" t="s">
        <v>135</v>
      </c>
      <c r="B209" s="252">
        <v>68824</v>
      </c>
      <c r="C209" s="252">
        <v>354804</v>
      </c>
      <c r="D209" s="252"/>
    </row>
    <row r="210" spans="1:4" ht="15" customHeight="1">
      <c r="A210" s="249" t="s">
        <v>104</v>
      </c>
      <c r="B210" s="250">
        <f>SUM(B211:B214)</f>
        <v>3118605</v>
      </c>
      <c r="C210" s="250">
        <f>SUM(C211:C214)</f>
        <v>3666185</v>
      </c>
      <c r="D210" s="250">
        <f>SUM(D211:D214)</f>
        <v>0</v>
      </c>
    </row>
    <row r="211" spans="1:4" ht="15" customHeight="1">
      <c r="A211" s="251" t="s">
        <v>133</v>
      </c>
      <c r="B211" s="252"/>
      <c r="C211" s="252">
        <v>0</v>
      </c>
      <c r="D211" s="252"/>
    </row>
    <row r="212" spans="1:4" ht="15" customHeight="1">
      <c r="A212" s="251" t="s">
        <v>136</v>
      </c>
      <c r="B212" s="252"/>
      <c r="C212" s="252">
        <v>0</v>
      </c>
      <c r="D212" s="252"/>
    </row>
    <row r="213" spans="1:4" ht="15" customHeight="1">
      <c r="A213" s="251" t="s">
        <v>113</v>
      </c>
      <c r="B213" s="252">
        <v>3118605</v>
      </c>
      <c r="C213" s="252">
        <v>3666185</v>
      </c>
      <c r="D213" s="252"/>
    </row>
    <row r="214" spans="1:4" ht="15" customHeight="1">
      <c r="A214" s="251" t="s">
        <v>114</v>
      </c>
      <c r="B214" s="252"/>
      <c r="C214" s="252">
        <v>0</v>
      </c>
      <c r="D214" s="252"/>
    </row>
    <row r="215" spans="1:4" ht="15" customHeight="1">
      <c r="A215" s="253" t="s">
        <v>93</v>
      </c>
      <c r="B215" s="254">
        <f>SUM(B216)</f>
        <v>0</v>
      </c>
      <c r="C215" s="254">
        <f>SUM(C216)</f>
        <v>0</v>
      </c>
      <c r="D215" s="254">
        <f>SUM(D216)</f>
        <v>0</v>
      </c>
    </row>
    <row r="216" spans="1:4" ht="15" customHeight="1">
      <c r="A216" s="255" t="s">
        <v>115</v>
      </c>
      <c r="B216" s="256"/>
      <c r="C216" s="256"/>
      <c r="D216" s="256"/>
    </row>
    <row r="217" spans="1:4" ht="15" customHeight="1">
      <c r="A217" s="263" t="s">
        <v>310</v>
      </c>
      <c r="B217" s="250">
        <f>SUM(B203+B210+B215)</f>
        <v>9592557</v>
      </c>
      <c r="C217" s="250">
        <f>SUM(C203+C210+C215)</f>
        <v>6239818</v>
      </c>
      <c r="D217" s="250">
        <f>SUM(D203+D210+D215)</f>
        <v>6839200</v>
      </c>
    </row>
    <row r="218" spans="1:4">
      <c r="A218" s="264" t="s">
        <v>378</v>
      </c>
      <c r="B218" s="258"/>
      <c r="C218" s="258"/>
      <c r="D218" s="258"/>
    </row>
    <row r="219" spans="1:4">
      <c r="A219" s="265" t="s">
        <v>379</v>
      </c>
      <c r="B219" s="258"/>
      <c r="C219" s="258"/>
      <c r="D219" s="258"/>
    </row>
    <row r="220" spans="1:4">
      <c r="A220" s="258"/>
      <c r="B220" s="258"/>
      <c r="C220" s="258"/>
      <c r="D220" s="258"/>
    </row>
    <row r="221" spans="1:4">
      <c r="A221" s="245" t="s">
        <v>450</v>
      </c>
      <c r="B221" s="246"/>
      <c r="C221" s="246"/>
      <c r="D221" s="246"/>
    </row>
    <row r="222" spans="1:4" ht="25.5">
      <c r="A222" s="247" t="s">
        <v>313</v>
      </c>
      <c r="B222" s="248">
        <v>2019</v>
      </c>
      <c r="C222" s="248">
        <v>2020</v>
      </c>
      <c r="D222" s="248">
        <v>2021</v>
      </c>
    </row>
    <row r="223" spans="1:4" ht="15" customHeight="1">
      <c r="A223" s="249" t="s">
        <v>116</v>
      </c>
      <c r="B223" s="250">
        <f>SUM(B224:B229)</f>
        <v>0</v>
      </c>
      <c r="C223" s="250">
        <f>SUM(C224:C229)</f>
        <v>0</v>
      </c>
      <c r="D223" s="250">
        <f>SUM(D224:D229)</f>
        <v>0</v>
      </c>
    </row>
    <row r="224" spans="1:4" ht="15" customHeight="1">
      <c r="A224" s="251" t="s">
        <v>105</v>
      </c>
      <c r="B224" s="252"/>
      <c r="C224" s="252"/>
      <c r="D224" s="252"/>
    </row>
    <row r="225" spans="1:4" ht="15" customHeight="1">
      <c r="A225" s="251" t="s">
        <v>106</v>
      </c>
      <c r="B225" s="252"/>
      <c r="C225" s="252"/>
      <c r="D225" s="252"/>
    </row>
    <row r="226" spans="1:4" ht="15" customHeight="1">
      <c r="A226" s="251" t="s">
        <v>107</v>
      </c>
      <c r="B226" s="252"/>
      <c r="C226" s="252"/>
      <c r="D226" s="252"/>
    </row>
    <row r="227" spans="1:4" ht="15" customHeight="1">
      <c r="A227" s="251" t="s">
        <v>108</v>
      </c>
      <c r="B227" s="252"/>
      <c r="C227" s="252"/>
      <c r="D227" s="252"/>
    </row>
    <row r="228" spans="1:4" ht="15" customHeight="1">
      <c r="A228" s="251" t="s">
        <v>134</v>
      </c>
      <c r="B228" s="252"/>
      <c r="C228" s="252"/>
      <c r="D228" s="252"/>
    </row>
    <row r="229" spans="1:4" ht="15" customHeight="1">
      <c r="A229" s="251" t="s">
        <v>135</v>
      </c>
      <c r="B229" s="252"/>
      <c r="C229" s="252"/>
      <c r="D229" s="252"/>
    </row>
    <row r="230" spans="1:4" ht="15" customHeight="1">
      <c r="A230" s="249" t="s">
        <v>104</v>
      </c>
      <c r="B230" s="250">
        <f>SUM(B231:B234)</f>
        <v>271575825</v>
      </c>
      <c r="C230" s="250">
        <f>SUM(C231:C234)</f>
        <v>220695723</v>
      </c>
      <c r="D230" s="250">
        <f>SUM(D231:D234)</f>
        <v>104442335</v>
      </c>
    </row>
    <row r="231" spans="1:4" ht="15" customHeight="1">
      <c r="A231" s="251" t="s">
        <v>133</v>
      </c>
      <c r="B231" s="252">
        <v>50000000</v>
      </c>
      <c r="C231" s="252">
        <v>0</v>
      </c>
      <c r="D231" s="252"/>
    </row>
    <row r="232" spans="1:4" ht="15" customHeight="1">
      <c r="A232" s="251" t="s">
        <v>136</v>
      </c>
      <c r="B232" s="252"/>
      <c r="C232" s="252">
        <v>0</v>
      </c>
      <c r="D232" s="267"/>
    </row>
    <row r="233" spans="1:4" ht="15" customHeight="1">
      <c r="A233" s="251" t="s">
        <v>113</v>
      </c>
      <c r="B233" s="252">
        <v>221575825</v>
      </c>
      <c r="C233" s="252">
        <v>220695723</v>
      </c>
      <c r="D233" s="252">
        <v>104442335</v>
      </c>
    </row>
    <row r="234" spans="1:4" ht="15" customHeight="1">
      <c r="A234" s="251" t="s">
        <v>114</v>
      </c>
      <c r="B234" s="252"/>
      <c r="C234" s="252">
        <v>0</v>
      </c>
      <c r="D234" s="252"/>
    </row>
    <row r="235" spans="1:4" ht="15" customHeight="1">
      <c r="A235" s="253" t="s">
        <v>93</v>
      </c>
      <c r="B235" s="254">
        <f>SUM(B236)</f>
        <v>0</v>
      </c>
      <c r="C235" s="254">
        <f>SUM(C236)</f>
        <v>0</v>
      </c>
      <c r="D235" s="254">
        <f>SUM(D236)</f>
        <v>0</v>
      </c>
    </row>
    <row r="236" spans="1:4" ht="15" customHeight="1">
      <c r="A236" s="255" t="s">
        <v>115</v>
      </c>
      <c r="B236" s="256"/>
      <c r="C236" s="256"/>
      <c r="D236" s="256"/>
    </row>
    <row r="237" spans="1:4" ht="15" customHeight="1">
      <c r="A237" s="257" t="s">
        <v>308</v>
      </c>
      <c r="B237" s="250">
        <f>+B223+B230+B235</f>
        <v>271575825</v>
      </c>
      <c r="C237" s="250">
        <f>+C223+C230+C235</f>
        <v>220695723</v>
      </c>
      <c r="D237" s="250">
        <f>+D223+D230+D235</f>
        <v>104442335</v>
      </c>
    </row>
    <row r="238" spans="1:4">
      <c r="A238" s="258"/>
      <c r="B238" s="258"/>
      <c r="C238" s="258"/>
      <c r="D238" s="258"/>
    </row>
    <row r="239" spans="1:4" ht="25.5">
      <c r="A239" s="247" t="s">
        <v>312</v>
      </c>
      <c r="B239" s="248">
        <v>2019</v>
      </c>
      <c r="C239" s="248" t="s">
        <v>376</v>
      </c>
      <c r="D239" s="248" t="s">
        <v>377</v>
      </c>
    </row>
    <row r="240" spans="1:4" ht="15" customHeight="1">
      <c r="A240" s="249" t="s">
        <v>116</v>
      </c>
      <c r="B240" s="259">
        <f>SUM(B241:B246)</f>
        <v>0</v>
      </c>
      <c r="C240" s="259">
        <f>SUM(C241:C246)</f>
        <v>0</v>
      </c>
      <c r="D240" s="259">
        <f>SUM(D241:D246)</f>
        <v>0</v>
      </c>
    </row>
    <row r="241" spans="1:4" ht="15" customHeight="1">
      <c r="A241" s="251" t="s">
        <v>105</v>
      </c>
      <c r="B241" s="260"/>
      <c r="C241" s="260"/>
      <c r="D241" s="260"/>
    </row>
    <row r="242" spans="1:4" ht="15" customHeight="1">
      <c r="A242" s="251" t="s">
        <v>106</v>
      </c>
      <c r="B242" s="260"/>
      <c r="C242" s="260"/>
      <c r="D242" s="260"/>
    </row>
    <row r="243" spans="1:4" ht="15" customHeight="1">
      <c r="A243" s="251" t="s">
        <v>107</v>
      </c>
      <c r="B243" s="260"/>
      <c r="C243" s="260"/>
      <c r="D243" s="260"/>
    </row>
    <row r="244" spans="1:4" ht="15" customHeight="1">
      <c r="A244" s="251" t="s">
        <v>108</v>
      </c>
      <c r="B244" s="260"/>
      <c r="C244" s="260"/>
      <c r="D244" s="260"/>
    </row>
    <row r="245" spans="1:4" ht="15" customHeight="1">
      <c r="A245" s="251" t="s">
        <v>134</v>
      </c>
      <c r="B245" s="260"/>
      <c r="C245" s="260"/>
      <c r="D245" s="260"/>
    </row>
    <row r="246" spans="1:4" ht="15" customHeight="1">
      <c r="A246" s="251" t="s">
        <v>135</v>
      </c>
      <c r="B246" s="260"/>
      <c r="C246" s="260"/>
      <c r="D246" s="260"/>
    </row>
    <row r="247" spans="1:4" ht="15" customHeight="1">
      <c r="A247" s="249" t="s">
        <v>104</v>
      </c>
      <c r="B247" s="259">
        <f>SUM(B248:B251)</f>
        <v>538997827</v>
      </c>
      <c r="C247" s="259">
        <f>SUM(C248:C251)</f>
        <v>332427368</v>
      </c>
      <c r="D247" s="259">
        <f>SUM(D248:D251)</f>
        <v>104442335</v>
      </c>
    </row>
    <row r="248" spans="1:4" ht="15" customHeight="1">
      <c r="A248" s="251" t="s">
        <v>133</v>
      </c>
      <c r="B248" s="260">
        <v>318276663</v>
      </c>
      <c r="C248" s="260">
        <f>3881649+111731645</f>
        <v>115613294</v>
      </c>
      <c r="D248" s="260"/>
    </row>
    <row r="249" spans="1:4" ht="15" customHeight="1">
      <c r="A249" s="251" t="s">
        <v>136</v>
      </c>
      <c r="B249" s="260"/>
      <c r="C249" s="260">
        <v>0</v>
      </c>
      <c r="D249" s="260"/>
    </row>
    <row r="250" spans="1:4" ht="15" customHeight="1">
      <c r="A250" s="251" t="s">
        <v>113</v>
      </c>
      <c r="B250" s="260">
        <v>220721164</v>
      </c>
      <c r="C250" s="260">
        <v>216814074</v>
      </c>
      <c r="D250" s="260">
        <v>104442335</v>
      </c>
    </row>
    <row r="251" spans="1:4" ht="15" customHeight="1">
      <c r="A251" s="251" t="s">
        <v>114</v>
      </c>
      <c r="B251" s="260"/>
      <c r="C251" s="260">
        <v>0</v>
      </c>
      <c r="D251" s="260"/>
    </row>
    <row r="252" spans="1:4" ht="15" customHeight="1">
      <c r="A252" s="253" t="s">
        <v>93</v>
      </c>
      <c r="B252" s="261">
        <f>SUM(B253)</f>
        <v>0</v>
      </c>
      <c r="C252" s="261">
        <f>SUM(C253)</f>
        <v>0</v>
      </c>
      <c r="D252" s="261">
        <f>SUM(D253)</f>
        <v>0</v>
      </c>
    </row>
    <row r="253" spans="1:4" ht="15" customHeight="1">
      <c r="A253" s="255" t="s">
        <v>115</v>
      </c>
      <c r="B253" s="262"/>
      <c r="C253" s="262"/>
      <c r="D253" s="262"/>
    </row>
    <row r="254" spans="1:4" ht="15" customHeight="1">
      <c r="A254" s="257" t="s">
        <v>309</v>
      </c>
      <c r="B254" s="259">
        <f>SUM(B240+B247+B252)</f>
        <v>538997827</v>
      </c>
      <c r="C254" s="259">
        <f>SUM(C240+C247+C252)</f>
        <v>332427368</v>
      </c>
      <c r="D254" s="259">
        <f>SUM(D240+D247+D252)</f>
        <v>104442335</v>
      </c>
    </row>
    <row r="255" spans="1:4">
      <c r="A255" s="258"/>
      <c r="B255" s="258"/>
      <c r="C255" s="258"/>
      <c r="D255" s="258"/>
    </row>
    <row r="256" spans="1:4" ht="25.5">
      <c r="A256" s="247" t="s">
        <v>311</v>
      </c>
      <c r="B256" s="248">
        <v>2019</v>
      </c>
      <c r="C256" s="248" t="s">
        <v>376</v>
      </c>
      <c r="D256" s="248" t="s">
        <v>377</v>
      </c>
    </row>
    <row r="257" spans="1:4" ht="15" customHeight="1">
      <c r="A257" s="249" t="s">
        <v>116</v>
      </c>
      <c r="B257" s="250">
        <f>SUM(B259:B263)</f>
        <v>0</v>
      </c>
      <c r="C257" s="250">
        <f>SUM(C258:C263)</f>
        <v>0</v>
      </c>
      <c r="D257" s="250">
        <f>SUM(D258:D263)</f>
        <v>0</v>
      </c>
    </row>
    <row r="258" spans="1:4" ht="15" customHeight="1">
      <c r="A258" s="251" t="s">
        <v>105</v>
      </c>
      <c r="B258" s="268"/>
      <c r="C258" s="252"/>
      <c r="D258" s="252"/>
    </row>
    <row r="259" spans="1:4" ht="15" customHeight="1">
      <c r="A259" s="251" t="s">
        <v>106</v>
      </c>
      <c r="B259" s="252"/>
      <c r="C259" s="252"/>
      <c r="D259" s="252"/>
    </row>
    <row r="260" spans="1:4" ht="15" customHeight="1">
      <c r="A260" s="251" t="s">
        <v>107</v>
      </c>
      <c r="B260" s="252"/>
      <c r="C260" s="252"/>
      <c r="D260" s="252"/>
    </row>
    <row r="261" spans="1:4" ht="15" customHeight="1">
      <c r="A261" s="251" t="s">
        <v>108</v>
      </c>
      <c r="B261" s="252"/>
      <c r="C261" s="252"/>
      <c r="D261" s="252"/>
    </row>
    <row r="262" spans="1:4" ht="15" customHeight="1">
      <c r="A262" s="251" t="s">
        <v>134</v>
      </c>
      <c r="B262" s="252"/>
      <c r="C262" s="252"/>
      <c r="D262" s="252"/>
    </row>
    <row r="263" spans="1:4" ht="15" customHeight="1">
      <c r="A263" s="251" t="s">
        <v>135</v>
      </c>
      <c r="B263" s="252"/>
      <c r="C263" s="252"/>
      <c r="D263" s="252"/>
    </row>
    <row r="264" spans="1:4" ht="15" customHeight="1">
      <c r="A264" s="249" t="s">
        <v>104</v>
      </c>
      <c r="B264" s="250">
        <f>SUM(B265:B268)</f>
        <v>502051262</v>
      </c>
      <c r="C264" s="250">
        <f>SUM(C265:C268)</f>
        <v>224633294</v>
      </c>
      <c r="D264" s="250">
        <f>SUM(D265:D268)</f>
        <v>104442335</v>
      </c>
    </row>
    <row r="265" spans="1:4" ht="15" customHeight="1">
      <c r="A265" s="251" t="s">
        <v>133</v>
      </c>
      <c r="B265" s="252">
        <v>318276658</v>
      </c>
      <c r="C265" s="252">
        <f>3881649+111731645</f>
        <v>115613294</v>
      </c>
      <c r="D265" s="252"/>
    </row>
    <row r="266" spans="1:4" ht="15" customHeight="1">
      <c r="A266" s="251" t="s">
        <v>136</v>
      </c>
      <c r="B266" s="252"/>
      <c r="C266" s="252">
        <v>0</v>
      </c>
      <c r="D266" s="252"/>
    </row>
    <row r="267" spans="1:4" ht="15" customHeight="1">
      <c r="A267" s="251" t="s">
        <v>113</v>
      </c>
      <c r="B267" s="252">
        <v>183774604</v>
      </c>
      <c r="C267" s="252">
        <v>109020000</v>
      </c>
      <c r="D267" s="252">
        <v>104442335</v>
      </c>
    </row>
    <row r="268" spans="1:4" ht="15" customHeight="1">
      <c r="A268" s="251" t="s">
        <v>114</v>
      </c>
      <c r="B268" s="252"/>
      <c r="C268" s="252"/>
      <c r="D268" s="252"/>
    </row>
    <row r="269" spans="1:4" ht="15" customHeight="1">
      <c r="A269" s="253" t="s">
        <v>93</v>
      </c>
      <c r="B269" s="254">
        <f>SUM(B270)</f>
        <v>0</v>
      </c>
      <c r="C269" s="254">
        <f>SUM(C270)</f>
        <v>0</v>
      </c>
      <c r="D269" s="254">
        <f>SUM(D270)</f>
        <v>0</v>
      </c>
    </row>
    <row r="270" spans="1:4" ht="15" customHeight="1">
      <c r="A270" s="255" t="s">
        <v>115</v>
      </c>
      <c r="B270" s="256"/>
      <c r="C270" s="256"/>
      <c r="D270" s="256"/>
    </row>
    <row r="271" spans="1:4" ht="15" customHeight="1">
      <c r="A271" s="263" t="s">
        <v>310</v>
      </c>
      <c r="B271" s="250">
        <f>SUM(B257+B264+B269)</f>
        <v>502051262</v>
      </c>
      <c r="C271" s="250">
        <f>SUM(C257+C264+C269)</f>
        <v>224633294</v>
      </c>
      <c r="D271" s="250">
        <f>SUM(D257+D264+D269)</f>
        <v>104442335</v>
      </c>
    </row>
    <row r="272" spans="1:4">
      <c r="A272" s="264" t="s">
        <v>378</v>
      </c>
      <c r="B272" s="258"/>
      <c r="C272" s="258"/>
      <c r="D272" s="258"/>
    </row>
    <row r="273" spans="1:4">
      <c r="A273" s="265" t="s">
        <v>379</v>
      </c>
      <c r="B273" s="258"/>
      <c r="C273" s="258"/>
      <c r="D273" s="258"/>
    </row>
    <row r="274" spans="1:4">
      <c r="A274" s="258"/>
      <c r="B274" s="258"/>
      <c r="C274" s="258"/>
      <c r="D274" s="258"/>
    </row>
  </sheetData>
  <printOptions horizontalCentered="1"/>
  <pageMargins left="0.70866141732283472" right="0.51181102362204722" top="0.94488188976377963" bottom="0.74803149606299213" header="0.51181102362204722" footer="0.31496062992125984"/>
  <pageSetup paperSize="9" scale="81" orientation="portrait" r:id="rId1"/>
  <headerFooter>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rowBreaks count="4" manualBreakCount="4">
    <brk id="57" max="3" man="1"/>
    <brk id="111" max="3" man="1"/>
    <brk id="165" max="3" man="1"/>
    <brk id="219" max="3" man="1"/>
  </rowBreaks>
  <ignoredErrors>
    <ignoredError sqref="B13:D13 B30:D30 B47:D4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8">
    <tabColor theme="8" tint="-0.249977111117893"/>
  </sheetPr>
  <dimension ref="A1:W10"/>
  <sheetViews>
    <sheetView showGridLines="0" zoomScaleNormal="100" zoomScaleSheetLayoutView="100" workbookViewId="0">
      <selection activeCell="F19" sqref="F19"/>
    </sheetView>
  </sheetViews>
  <sheetFormatPr baseColWidth="10" defaultColWidth="11.28515625" defaultRowHeight="11.25"/>
  <cols>
    <col min="1" max="1" width="40.7109375" style="36" customWidth="1"/>
    <col min="2" max="2" width="41.7109375" style="36" customWidth="1"/>
    <col min="3" max="3" width="5" style="36" customWidth="1"/>
    <col min="4" max="9" width="12.7109375" style="36" customWidth="1"/>
    <col min="10" max="11" width="5" style="36" customWidth="1"/>
    <col min="12" max="12" width="12.7109375" style="36" customWidth="1"/>
    <col min="13" max="13" width="5" style="36" customWidth="1"/>
    <col min="14" max="14" width="12.7109375" style="36" customWidth="1"/>
    <col min="15" max="16" width="5" style="36" customWidth="1"/>
    <col min="17" max="17" width="12.7109375" style="36" customWidth="1"/>
    <col min="18" max="18" width="5" style="36" customWidth="1"/>
    <col min="19" max="16384" width="11.28515625" style="36"/>
  </cols>
  <sheetData>
    <row r="1" spans="1:23" s="35" customFormat="1">
      <c r="A1" s="30" t="s">
        <v>381</v>
      </c>
      <c r="B1" s="30"/>
      <c r="C1" s="79"/>
      <c r="D1" s="79"/>
      <c r="E1" s="79"/>
      <c r="F1" s="79"/>
      <c r="G1" s="79"/>
      <c r="H1" s="80"/>
      <c r="I1" s="80"/>
      <c r="J1" s="80"/>
      <c r="K1" s="80"/>
      <c r="L1" s="80"/>
      <c r="M1" s="80"/>
      <c r="N1" s="80"/>
      <c r="O1" s="80"/>
      <c r="P1" s="80"/>
      <c r="Q1" s="80"/>
      <c r="R1" s="80"/>
    </row>
    <row r="2" spans="1:23" s="35" customFormat="1" ht="12" thickBot="1">
      <c r="A2" s="31" t="s">
        <v>438</v>
      </c>
      <c r="B2" s="31"/>
      <c r="C2" s="31"/>
      <c r="D2" s="31"/>
      <c r="E2" s="31"/>
      <c r="F2" s="31"/>
      <c r="G2" s="31"/>
      <c r="H2" s="31"/>
      <c r="I2" s="31"/>
      <c r="J2" s="31"/>
      <c r="K2" s="31"/>
      <c r="L2" s="31"/>
      <c r="M2" s="31"/>
      <c r="N2" s="31"/>
      <c r="O2" s="31"/>
      <c r="P2" s="31"/>
      <c r="Q2" s="31"/>
      <c r="R2" s="31"/>
      <c r="S2" s="34"/>
      <c r="T2" s="34"/>
      <c r="U2" s="34"/>
      <c r="V2" s="34"/>
      <c r="W2" s="34"/>
    </row>
    <row r="3" spans="1:23" s="39" customFormat="1" ht="28.35" customHeight="1" thickBot="1">
      <c r="A3" s="1665" t="s">
        <v>281</v>
      </c>
      <c r="B3" s="1665" t="s">
        <v>266</v>
      </c>
      <c r="C3" s="1667" t="s">
        <v>116</v>
      </c>
      <c r="D3" s="1668"/>
      <c r="E3" s="1668"/>
      <c r="F3" s="1668"/>
      <c r="G3" s="1668"/>
      <c r="H3" s="1668"/>
      <c r="I3" s="1669"/>
      <c r="J3" s="1667" t="s">
        <v>104</v>
      </c>
      <c r="K3" s="1668"/>
      <c r="L3" s="1668"/>
      <c r="M3" s="1668"/>
      <c r="N3" s="1669"/>
      <c r="O3" s="1667" t="s">
        <v>93</v>
      </c>
      <c r="P3" s="1669"/>
      <c r="Q3" s="1667" t="s">
        <v>0</v>
      </c>
      <c r="R3" s="1669"/>
    </row>
    <row r="4" spans="1:23" s="40" customFormat="1" ht="109.5" customHeight="1" thickBot="1">
      <c r="A4" s="1666"/>
      <c r="B4" s="1666"/>
      <c r="C4" s="81" t="s">
        <v>105</v>
      </c>
      <c r="D4" s="82" t="s">
        <v>106</v>
      </c>
      <c r="E4" s="82" t="s">
        <v>107</v>
      </c>
      <c r="F4" s="82" t="s">
        <v>108</v>
      </c>
      <c r="G4" s="82" t="s">
        <v>109</v>
      </c>
      <c r="H4" s="82" t="s">
        <v>110</v>
      </c>
      <c r="I4" s="83" t="s">
        <v>101</v>
      </c>
      <c r="J4" s="81" t="s">
        <v>111</v>
      </c>
      <c r="K4" s="82" t="s">
        <v>112</v>
      </c>
      <c r="L4" s="82" t="s">
        <v>113</v>
      </c>
      <c r="M4" s="82" t="s">
        <v>114</v>
      </c>
      <c r="N4" s="83" t="s">
        <v>102</v>
      </c>
      <c r="O4" s="81" t="s">
        <v>115</v>
      </c>
      <c r="P4" s="83" t="s">
        <v>103</v>
      </c>
      <c r="Q4" s="84" t="s">
        <v>137</v>
      </c>
      <c r="R4" s="85" t="s">
        <v>91</v>
      </c>
    </row>
    <row r="5" spans="1:23" ht="30" customHeight="1">
      <c r="A5" s="1663" t="s">
        <v>439</v>
      </c>
      <c r="B5" s="86" t="s">
        <v>440</v>
      </c>
      <c r="C5" s="87"/>
      <c r="D5" s="179">
        <v>11543024</v>
      </c>
      <c r="E5" s="179">
        <v>7598260</v>
      </c>
      <c r="F5" s="179">
        <v>106438017</v>
      </c>
      <c r="G5" s="179">
        <v>16174076</v>
      </c>
      <c r="H5" s="179">
        <v>100000</v>
      </c>
      <c r="I5" s="169">
        <f>SUM(D5:H5)</f>
        <v>141853377</v>
      </c>
      <c r="J5" s="170"/>
      <c r="K5" s="168"/>
      <c r="L5" s="168">
        <v>0</v>
      </c>
      <c r="M5" s="168"/>
      <c r="N5" s="169">
        <f>SUM(J5:M5)</f>
        <v>0</v>
      </c>
      <c r="O5" s="170"/>
      <c r="P5" s="169"/>
      <c r="Q5" s="170">
        <f>+I5+N5</f>
        <v>141853377</v>
      </c>
      <c r="R5" s="183">
        <f>+Q5/$Q$9</f>
        <v>0.29792575772771929</v>
      </c>
    </row>
    <row r="6" spans="1:23" ht="30" customHeight="1">
      <c r="A6" s="1664"/>
      <c r="B6" s="88" t="s">
        <v>441</v>
      </c>
      <c r="C6" s="89"/>
      <c r="D6" s="178">
        <v>5457124</v>
      </c>
      <c r="E6" s="178">
        <v>486255</v>
      </c>
      <c r="F6" s="178">
        <v>7018651</v>
      </c>
      <c r="G6" s="178"/>
      <c r="H6" s="178">
        <v>115000</v>
      </c>
      <c r="I6" s="169">
        <f>SUM(D6:H6)</f>
        <v>13077030</v>
      </c>
      <c r="J6" s="172"/>
      <c r="K6" s="171"/>
      <c r="L6" s="178">
        <v>213054769</v>
      </c>
      <c r="M6" s="171"/>
      <c r="N6" s="169">
        <f>SUM(J6:M6)</f>
        <v>213054769</v>
      </c>
      <c r="O6" s="172"/>
      <c r="P6" s="173"/>
      <c r="Q6" s="170">
        <f>+I6+N6</f>
        <v>226131799</v>
      </c>
      <c r="R6" s="184">
        <f>+Q6/$Q$9</f>
        <v>0.47493044570526732</v>
      </c>
    </row>
    <row r="7" spans="1:23" ht="30" customHeight="1">
      <c r="A7" s="88" t="s">
        <v>444</v>
      </c>
      <c r="B7" s="88" t="s">
        <v>442</v>
      </c>
      <c r="C7" s="90"/>
      <c r="D7" s="174">
        <v>22311984</v>
      </c>
      <c r="E7" s="175">
        <v>1217310</v>
      </c>
      <c r="F7" s="175">
        <v>12156562</v>
      </c>
      <c r="G7" s="175">
        <v>370000</v>
      </c>
      <c r="H7" s="175">
        <v>93496</v>
      </c>
      <c r="I7" s="169">
        <f>SUM(D7:H7)</f>
        <v>36149352</v>
      </c>
      <c r="J7" s="176"/>
      <c r="K7" s="174"/>
      <c r="L7" s="174">
        <v>4395332</v>
      </c>
      <c r="M7" s="174"/>
      <c r="N7" s="169">
        <f>SUM(J7:M7)</f>
        <v>4395332</v>
      </c>
      <c r="O7" s="176"/>
      <c r="P7" s="177"/>
      <c r="Q7" s="170">
        <f>+I7+N7</f>
        <v>40544684</v>
      </c>
      <c r="R7" s="185">
        <f>+Q7/$Q$9</f>
        <v>8.5153458860066034E-2</v>
      </c>
    </row>
    <row r="8" spans="1:23" ht="30" customHeight="1" thickBot="1">
      <c r="A8" s="88" t="s">
        <v>445</v>
      </c>
      <c r="B8" s="88" t="s">
        <v>443</v>
      </c>
      <c r="C8" s="90"/>
      <c r="D8" s="174">
        <v>12548887</v>
      </c>
      <c r="E8" s="175">
        <v>3932961</v>
      </c>
      <c r="F8" s="175">
        <v>44918558</v>
      </c>
      <c r="G8" s="175"/>
      <c r="H8" s="175">
        <v>31000</v>
      </c>
      <c r="I8" s="169">
        <f>SUM(D8:H8)</f>
        <v>61431406</v>
      </c>
      <c r="J8" s="176"/>
      <c r="K8" s="174"/>
      <c r="L8" s="174">
        <v>6175400</v>
      </c>
      <c r="M8" s="174"/>
      <c r="N8" s="169">
        <f>SUM(J8:M8)</f>
        <v>6175400</v>
      </c>
      <c r="O8" s="176"/>
      <c r="P8" s="177"/>
      <c r="Q8" s="170">
        <f>+I8+N8</f>
        <v>67606806</v>
      </c>
      <c r="R8" s="185">
        <f>+Q8/$Q$9</f>
        <v>0.14199033770694736</v>
      </c>
    </row>
    <row r="9" spans="1:23" ht="35.1" customHeight="1" thickBot="1">
      <c r="A9" s="91" t="s">
        <v>84</v>
      </c>
      <c r="B9" s="91" t="s">
        <v>84</v>
      </c>
      <c r="C9" s="92"/>
      <c r="D9" s="180">
        <f t="shared" ref="D9:I9" si="0">SUM(D5:D8)</f>
        <v>51861019</v>
      </c>
      <c r="E9" s="180">
        <f t="shared" si="0"/>
        <v>13234786</v>
      </c>
      <c r="F9" s="180">
        <f t="shared" si="0"/>
        <v>170531788</v>
      </c>
      <c r="G9" s="180">
        <f t="shared" si="0"/>
        <v>16544076</v>
      </c>
      <c r="H9" s="180">
        <f t="shared" si="0"/>
        <v>339496</v>
      </c>
      <c r="I9" s="180">
        <f t="shared" si="0"/>
        <v>252511165</v>
      </c>
      <c r="J9" s="182"/>
      <c r="K9" s="180"/>
      <c r="L9" s="180">
        <f>SUM(L5:L8)</f>
        <v>223625501</v>
      </c>
      <c r="M9" s="180">
        <f>SUM(M5:M8)</f>
        <v>0</v>
      </c>
      <c r="N9" s="180">
        <f>SUM(N5:N8)</f>
        <v>223625501</v>
      </c>
      <c r="O9" s="182"/>
      <c r="P9" s="181"/>
      <c r="Q9" s="182">
        <f>SUM(Q5:Q8)</f>
        <v>476136666</v>
      </c>
      <c r="R9" s="186">
        <f>+Q9/$Q$9</f>
        <v>1</v>
      </c>
    </row>
    <row r="10" spans="1:23">
      <c r="A10" s="41"/>
      <c r="B10" s="41"/>
      <c r="C10" s="42"/>
      <c r="D10" s="43"/>
      <c r="E10" s="44"/>
      <c r="F10" s="44"/>
      <c r="G10" s="44"/>
      <c r="H10" s="44"/>
      <c r="I10" s="44"/>
      <c r="J10" s="44"/>
      <c r="K10" s="44"/>
      <c r="L10" s="44"/>
      <c r="M10" s="44"/>
      <c r="N10" s="44"/>
      <c r="O10" s="44"/>
      <c r="P10" s="44"/>
      <c r="Q10" s="44"/>
      <c r="R10" s="44"/>
    </row>
  </sheetData>
  <mergeCells count="7">
    <mergeCell ref="A5:A6"/>
    <mergeCell ref="A3:A4"/>
    <mergeCell ref="J3:N3"/>
    <mergeCell ref="O3:P3"/>
    <mergeCell ref="Q3:R3"/>
    <mergeCell ref="C3:I3"/>
    <mergeCell ref="B3:B4"/>
  </mergeCells>
  <phoneticPr fontId="0" type="noConversion"/>
  <pageMargins left="0.23622047244094491" right="0.23622047244094491" top="0.94488188976377963" bottom="0.74803149606299213" header="0.51181102362204722" footer="0.31496062992125984"/>
  <pageSetup paperSize="9" scale="63" orientation="landscape" r:id="rId1"/>
  <headerFooter alignWithMargins="0">
    <oddHeader xml:space="preserve">&amp;C&amp;"Arial,Negrita"&amp;18PROYECTO DE PRESUPUESTO 2021
</oddHeader>
    <oddFooter>&amp;L&amp;"Arial,Negrita"&amp;8PROYECTO DE PRESUPUESTO PARA EL AÑO FISCAL 2021
INFORMACIÓN PARA LA COMISIÓN DE PRESUPUESTO Y CUENTA GENERAL DE LA REPÚBLICA DEL CONGRESO DE LA REPÚBLICA</oddFooter>
  </headerFooter>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sheetPr>
  <dimension ref="A1:D30"/>
  <sheetViews>
    <sheetView showGridLines="0" topLeftCell="A16" zoomScaleNormal="100" workbookViewId="0"/>
  </sheetViews>
  <sheetFormatPr baseColWidth="10" defaultColWidth="11.28515625" defaultRowHeight="12.75"/>
  <cols>
    <col min="1" max="1" width="67" customWidth="1"/>
    <col min="2" max="4" width="14.7109375" customWidth="1"/>
  </cols>
  <sheetData>
    <row r="1" spans="1:4">
      <c r="A1" s="30" t="s">
        <v>382</v>
      </c>
    </row>
    <row r="2" spans="1:4">
      <c r="A2" s="31" t="s">
        <v>438</v>
      </c>
    </row>
    <row r="3" spans="1:4" s="54" customFormat="1" ht="28.35" customHeight="1">
      <c r="A3" s="60" t="s">
        <v>320</v>
      </c>
      <c r="B3" s="61">
        <v>2019</v>
      </c>
      <c r="C3" s="61">
        <v>2020</v>
      </c>
      <c r="D3" s="61">
        <v>2021</v>
      </c>
    </row>
    <row r="4" spans="1:4" s="17" customFormat="1" ht="24.95" customHeight="1">
      <c r="A4" s="166" t="s">
        <v>451</v>
      </c>
      <c r="B4" s="167">
        <v>339919696</v>
      </c>
      <c r="C4" s="269">
        <v>401449915</v>
      </c>
      <c r="D4" s="269">
        <v>215669936</v>
      </c>
    </row>
    <row r="5" spans="1:4" s="57" customFormat="1" ht="24.95" customHeight="1">
      <c r="A5" s="166" t="s">
        <v>452</v>
      </c>
      <c r="B5" s="167">
        <v>3708020</v>
      </c>
      <c r="C5" s="167">
        <v>4306695</v>
      </c>
      <c r="D5" s="167">
        <v>4069171</v>
      </c>
    </row>
    <row r="6" spans="1:4" s="57" customFormat="1" ht="24.95" customHeight="1">
      <c r="A6" s="166" t="s">
        <v>453</v>
      </c>
      <c r="B6" s="167">
        <v>2789132</v>
      </c>
      <c r="C6" s="167">
        <v>2397132</v>
      </c>
      <c r="D6" s="167">
        <v>1169456</v>
      </c>
    </row>
    <row r="7" spans="1:4" s="57" customFormat="1" ht="24.95" customHeight="1">
      <c r="A7" s="166" t="s">
        <v>454</v>
      </c>
      <c r="B7" s="167">
        <v>13871478</v>
      </c>
      <c r="C7" s="167">
        <v>18350641</v>
      </c>
      <c r="D7" s="167">
        <v>12302292</v>
      </c>
    </row>
    <row r="8" spans="1:4" s="57" customFormat="1" ht="24.95" customHeight="1">
      <c r="A8" s="166" t="s">
        <v>455</v>
      </c>
      <c r="B8" s="167">
        <v>1714807</v>
      </c>
      <c r="C8" s="167">
        <v>1167000</v>
      </c>
      <c r="D8" s="167">
        <v>682460</v>
      </c>
    </row>
    <row r="9" spans="1:4" s="57" customFormat="1" ht="24.95" customHeight="1">
      <c r="A9" s="166" t="s">
        <v>456</v>
      </c>
      <c r="B9" s="167">
        <v>5743925</v>
      </c>
      <c r="C9" s="167">
        <v>2594178</v>
      </c>
      <c r="D9" s="167">
        <v>3522207</v>
      </c>
    </row>
    <row r="10" spans="1:4" s="57" customFormat="1" ht="22.5" customHeight="1">
      <c r="A10" s="58" t="s">
        <v>308</v>
      </c>
      <c r="B10" s="165">
        <f>SUM(B4:B9)</f>
        <v>367747058</v>
      </c>
      <c r="C10" s="165">
        <f>SUM(C4:C9)</f>
        <v>430265561</v>
      </c>
      <c r="D10" s="165">
        <f>SUM(D4:D9)</f>
        <v>237415522</v>
      </c>
    </row>
    <row r="12" spans="1:4" s="54" customFormat="1" ht="28.35" customHeight="1">
      <c r="A12" s="60" t="s">
        <v>321</v>
      </c>
      <c r="B12" s="61">
        <v>2019</v>
      </c>
      <c r="C12" s="61" t="s">
        <v>376</v>
      </c>
      <c r="D12" s="61" t="s">
        <v>377</v>
      </c>
    </row>
    <row r="13" spans="1:4" s="17" customFormat="1" ht="24.95" customHeight="1">
      <c r="A13" s="166" t="s">
        <v>451</v>
      </c>
      <c r="B13" s="167">
        <v>338559189</v>
      </c>
      <c r="C13" s="269">
        <v>401251630</v>
      </c>
      <c r="D13" s="269">
        <v>215669936</v>
      </c>
    </row>
    <row r="14" spans="1:4" s="57" customFormat="1" ht="24.95" customHeight="1">
      <c r="A14" s="166" t="s">
        <v>452</v>
      </c>
      <c r="B14" s="167">
        <v>5115527</v>
      </c>
      <c r="C14" s="167">
        <v>4430114</v>
      </c>
      <c r="D14" s="167">
        <v>4069171</v>
      </c>
    </row>
    <row r="15" spans="1:4" s="57" customFormat="1" ht="24.95" customHeight="1">
      <c r="A15" s="166" t="s">
        <v>453</v>
      </c>
      <c r="B15" s="167">
        <v>82797132</v>
      </c>
      <c r="C15" s="167">
        <v>2397132</v>
      </c>
      <c r="D15" s="167">
        <v>1169456</v>
      </c>
    </row>
    <row r="16" spans="1:4" s="57" customFormat="1" ht="24.95" customHeight="1">
      <c r="A16" s="166" t="s">
        <v>454</v>
      </c>
      <c r="B16" s="167">
        <v>18586356</v>
      </c>
      <c r="C16" s="167">
        <v>18353341</v>
      </c>
      <c r="D16" s="167">
        <v>12302292</v>
      </c>
    </row>
    <row r="17" spans="1:4" s="57" customFormat="1" ht="24.95" customHeight="1">
      <c r="A17" s="166" t="s">
        <v>455</v>
      </c>
      <c r="B17" s="167">
        <v>1724807</v>
      </c>
      <c r="C17" s="167">
        <v>1190762</v>
      </c>
      <c r="D17" s="167">
        <v>682460</v>
      </c>
    </row>
    <row r="18" spans="1:4" s="57" customFormat="1" ht="24.95" customHeight="1">
      <c r="A18" s="166" t="s">
        <v>456</v>
      </c>
      <c r="B18" s="167">
        <v>4060356</v>
      </c>
      <c r="C18" s="167">
        <v>2817630</v>
      </c>
      <c r="D18" s="167">
        <v>3522207</v>
      </c>
    </row>
    <row r="19" spans="1:4" s="57" customFormat="1" ht="22.5" customHeight="1">
      <c r="A19" s="58" t="s">
        <v>308</v>
      </c>
      <c r="B19" s="165">
        <f>SUM(B13:B18)</f>
        <v>450843367</v>
      </c>
      <c r="C19" s="165">
        <f>SUM(C13:C18)</f>
        <v>430440609</v>
      </c>
      <c r="D19" s="165">
        <f>SUM(D13:D18)</f>
        <v>237415522</v>
      </c>
    </row>
    <row r="21" spans="1:4" s="54" customFormat="1" ht="28.35" customHeight="1">
      <c r="A21" s="60" t="s">
        <v>322</v>
      </c>
      <c r="B21" s="61">
        <v>2019</v>
      </c>
      <c r="C21" s="61" t="s">
        <v>376</v>
      </c>
      <c r="D21" s="61" t="s">
        <v>377</v>
      </c>
    </row>
    <row r="22" spans="1:4" s="17" customFormat="1" ht="24.95" customHeight="1">
      <c r="A22" s="166" t="s">
        <v>451</v>
      </c>
      <c r="B22" s="167">
        <v>295104741</v>
      </c>
      <c r="C22" s="269">
        <v>254694866</v>
      </c>
      <c r="D22" s="269">
        <v>215669936</v>
      </c>
    </row>
    <row r="23" spans="1:4" s="57" customFormat="1" ht="24.95" customHeight="1">
      <c r="A23" s="166" t="s">
        <v>452</v>
      </c>
      <c r="B23" s="167">
        <v>4785978</v>
      </c>
      <c r="C23" s="167">
        <v>4196304</v>
      </c>
      <c r="D23" s="167">
        <v>4069171</v>
      </c>
    </row>
    <row r="24" spans="1:4" s="57" customFormat="1" ht="24.95" customHeight="1">
      <c r="A24" s="166" t="s">
        <v>453</v>
      </c>
      <c r="B24" s="167">
        <v>81061599</v>
      </c>
      <c r="C24" s="167">
        <v>1791999</v>
      </c>
      <c r="D24" s="167">
        <v>1169456</v>
      </c>
    </row>
    <row r="25" spans="1:4" s="57" customFormat="1" ht="24.95" customHeight="1">
      <c r="A25" s="166" t="s">
        <v>454</v>
      </c>
      <c r="B25" s="167">
        <v>13450827</v>
      </c>
      <c r="C25" s="167">
        <v>14127703</v>
      </c>
      <c r="D25" s="167">
        <v>12302292</v>
      </c>
    </row>
    <row r="26" spans="1:4" s="57" customFormat="1" ht="24.95" customHeight="1">
      <c r="A26" s="166" t="s">
        <v>455</v>
      </c>
      <c r="B26" s="167">
        <v>891616</v>
      </c>
      <c r="C26" s="167">
        <v>202027</v>
      </c>
      <c r="D26" s="167">
        <v>682460</v>
      </c>
    </row>
    <row r="27" spans="1:4" s="57" customFormat="1" ht="24.95" customHeight="1">
      <c r="A27" s="166" t="s">
        <v>456</v>
      </c>
      <c r="B27" s="167">
        <v>2774670</v>
      </c>
      <c r="C27" s="167">
        <v>2529711</v>
      </c>
      <c r="D27" s="167">
        <v>3522207</v>
      </c>
    </row>
    <row r="28" spans="1:4" s="57" customFormat="1" ht="22.5" customHeight="1">
      <c r="A28" s="58" t="s">
        <v>308</v>
      </c>
      <c r="B28" s="165">
        <f>SUM(B22:B27)</f>
        <v>398069431</v>
      </c>
      <c r="C28" s="165">
        <f>SUM(C22:C27)</f>
        <v>277542610</v>
      </c>
      <c r="D28" s="165">
        <f>SUM(D22:D27)</f>
        <v>237415522</v>
      </c>
    </row>
    <row r="29" spans="1:4">
      <c r="A29" s="161" t="s">
        <v>378</v>
      </c>
      <c r="C29" s="270"/>
    </row>
    <row r="30" spans="1:4">
      <c r="A30" s="162" t="s">
        <v>379</v>
      </c>
    </row>
  </sheetData>
  <printOptions horizontalCentered="1"/>
  <pageMargins left="0.47244094488188981" right="0.51181102362204722" top="0.94488188976377963" bottom="0.74803149606299213" header="0.51181102362204722" footer="0.31496062992125984"/>
  <pageSetup paperSize="9" scale="80" orientation="portrait" r:id="rId1"/>
  <headerFooter>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ignoredErrors>
    <ignoredError sqref="B28 B19 B10:D10"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2">
    <tabColor theme="8" tint="-0.249977111117893"/>
  </sheetPr>
  <dimension ref="A1:N51"/>
  <sheetViews>
    <sheetView showGridLines="0" topLeftCell="A16" zoomScaleNormal="100" zoomScaleSheetLayoutView="70" zoomScalePageLayoutView="90" workbookViewId="0">
      <selection activeCell="E13" sqref="E13"/>
    </sheetView>
  </sheetViews>
  <sheetFormatPr baseColWidth="10" defaultColWidth="11.28515625" defaultRowHeight="11.25"/>
  <cols>
    <col min="1" max="1" width="30.7109375" style="36" customWidth="1"/>
    <col min="2" max="3" width="8.7109375" style="36" customWidth="1"/>
    <col min="4" max="5" width="8.7109375" style="59" customWidth="1"/>
    <col min="6" max="14" width="8.7109375" style="36" customWidth="1"/>
    <col min="15" max="16384" width="11.28515625" style="36"/>
  </cols>
  <sheetData>
    <row r="1" spans="1:14" s="32" customFormat="1" ht="14.25" customHeight="1">
      <c r="A1" s="93" t="s">
        <v>383</v>
      </c>
      <c r="B1" s="94"/>
      <c r="C1" s="94"/>
      <c r="D1" s="94"/>
      <c r="E1" s="94"/>
      <c r="F1" s="94"/>
      <c r="G1" s="94"/>
      <c r="H1" s="94"/>
      <c r="I1" s="94"/>
      <c r="J1" s="94"/>
      <c r="K1" s="94"/>
      <c r="L1" s="94"/>
      <c r="M1" s="94"/>
      <c r="N1" s="94"/>
    </row>
    <row r="2" spans="1:14" s="35" customFormat="1" ht="12" thickBot="1">
      <c r="A2" s="31" t="s">
        <v>438</v>
      </c>
      <c r="B2" s="31"/>
      <c r="C2" s="31"/>
      <c r="D2" s="31"/>
      <c r="E2" s="31"/>
      <c r="F2" s="31"/>
      <c r="G2" s="31"/>
      <c r="H2" s="31"/>
      <c r="I2" s="31"/>
      <c r="J2" s="31"/>
      <c r="K2" s="31"/>
      <c r="L2" s="31"/>
      <c r="M2" s="31"/>
      <c r="N2" s="31"/>
    </row>
    <row r="3" spans="1:14" s="37" customFormat="1" ht="15" customHeight="1" thickBot="1">
      <c r="A3" s="1675" t="s">
        <v>200</v>
      </c>
      <c r="B3" s="1673" t="s">
        <v>233</v>
      </c>
      <c r="C3" s="1674"/>
      <c r="D3" s="1674"/>
      <c r="E3" s="1674"/>
      <c r="F3" s="1670" t="s">
        <v>234</v>
      </c>
      <c r="G3" s="1671"/>
      <c r="H3" s="1672"/>
      <c r="I3" s="1670" t="s">
        <v>232</v>
      </c>
      <c r="J3" s="1671"/>
      <c r="K3" s="1671"/>
      <c r="L3" s="1671"/>
      <c r="M3" s="1671"/>
      <c r="N3" s="1672"/>
    </row>
    <row r="4" spans="1:14" s="49" customFormat="1" ht="84.95" customHeight="1" thickBot="1">
      <c r="A4" s="1676"/>
      <c r="B4" s="95">
        <v>2019</v>
      </c>
      <c r="C4" s="96">
        <v>2020</v>
      </c>
      <c r="D4" s="96" t="s">
        <v>384</v>
      </c>
      <c r="E4" s="98" t="s">
        <v>385</v>
      </c>
      <c r="F4" s="95">
        <v>2019</v>
      </c>
      <c r="G4" s="96">
        <v>2020</v>
      </c>
      <c r="H4" s="96" t="s">
        <v>384</v>
      </c>
      <c r="I4" s="95">
        <v>2019</v>
      </c>
      <c r="J4" s="96" t="s">
        <v>376</v>
      </c>
      <c r="K4" s="96" t="s">
        <v>384</v>
      </c>
      <c r="L4" s="97" t="s">
        <v>386</v>
      </c>
      <c r="M4" s="97" t="s">
        <v>385</v>
      </c>
      <c r="N4" s="98" t="s">
        <v>387</v>
      </c>
    </row>
    <row r="5" spans="1:14">
      <c r="A5" s="99"/>
      <c r="B5" s="100"/>
      <c r="C5" s="101"/>
      <c r="D5" s="101"/>
      <c r="E5" s="102"/>
      <c r="F5" s="100"/>
      <c r="G5" s="101"/>
      <c r="H5" s="103"/>
      <c r="I5" s="100"/>
      <c r="J5" s="101"/>
      <c r="K5" s="103"/>
      <c r="L5" s="102"/>
      <c r="M5" s="102"/>
      <c r="N5" s="103"/>
    </row>
    <row r="6" spans="1:14" ht="22.5">
      <c r="A6" s="104" t="s">
        <v>231</v>
      </c>
      <c r="B6" s="105"/>
      <c r="C6" s="106"/>
      <c r="D6" s="106"/>
      <c r="E6" s="107"/>
      <c r="F6" s="105"/>
      <c r="G6" s="106"/>
      <c r="H6" s="108"/>
      <c r="I6" s="105"/>
      <c r="J6" s="106"/>
      <c r="K6" s="108"/>
      <c r="L6" s="107"/>
      <c r="M6" s="107"/>
      <c r="N6" s="108"/>
    </row>
    <row r="7" spans="1:14">
      <c r="A7" s="109" t="s">
        <v>201</v>
      </c>
      <c r="B7" s="110"/>
      <c r="C7" s="111"/>
      <c r="D7" s="111"/>
      <c r="E7" s="112"/>
      <c r="F7" s="110"/>
      <c r="G7" s="111"/>
      <c r="H7" s="113"/>
      <c r="I7" s="110"/>
      <c r="J7" s="111"/>
      <c r="K7" s="113"/>
      <c r="L7" s="112"/>
      <c r="M7" s="112"/>
      <c r="N7" s="113"/>
    </row>
    <row r="8" spans="1:14" s="37" customFormat="1">
      <c r="A8" s="114"/>
      <c r="B8" s="110"/>
      <c r="C8" s="111"/>
      <c r="D8" s="111"/>
      <c r="E8" s="112"/>
      <c r="F8" s="110"/>
      <c r="G8" s="111"/>
      <c r="H8" s="113"/>
      <c r="I8" s="110"/>
      <c r="J8" s="111"/>
      <c r="K8" s="113"/>
      <c r="L8" s="112"/>
      <c r="M8" s="112"/>
      <c r="N8" s="113"/>
    </row>
    <row r="9" spans="1:14">
      <c r="A9" s="104" t="s">
        <v>206</v>
      </c>
      <c r="B9" s="110"/>
      <c r="C9" s="111"/>
      <c r="D9" s="111"/>
      <c r="E9" s="112"/>
      <c r="F9" s="110"/>
      <c r="G9" s="111"/>
      <c r="H9" s="113"/>
      <c r="I9" s="110"/>
      <c r="J9" s="111"/>
      <c r="K9" s="113"/>
      <c r="L9" s="112"/>
      <c r="M9" s="112"/>
      <c r="N9" s="113"/>
    </row>
    <row r="10" spans="1:14">
      <c r="A10" s="115" t="s">
        <v>202</v>
      </c>
      <c r="B10" s="110"/>
      <c r="C10" s="111"/>
      <c r="D10" s="111"/>
      <c r="E10" s="112"/>
      <c r="F10" s="110"/>
      <c r="G10" s="111"/>
      <c r="H10" s="113"/>
      <c r="I10" s="110"/>
      <c r="J10" s="111"/>
      <c r="K10" s="113"/>
      <c r="L10" s="112"/>
      <c r="M10" s="112"/>
      <c r="N10" s="113"/>
    </row>
    <row r="11" spans="1:14">
      <c r="A11" s="115" t="s">
        <v>203</v>
      </c>
      <c r="B11" s="110"/>
      <c r="C11" s="111"/>
      <c r="D11" s="111"/>
      <c r="E11" s="112"/>
      <c r="F11" s="110"/>
      <c r="G11" s="111"/>
      <c r="H11" s="113"/>
      <c r="I11" s="110"/>
      <c r="J11" s="111"/>
      <c r="K11" s="113"/>
      <c r="L11" s="112"/>
      <c r="M11" s="112"/>
      <c r="N11" s="113"/>
    </row>
    <row r="12" spans="1:14">
      <c r="A12" s="115" t="s">
        <v>204</v>
      </c>
      <c r="B12" s="110"/>
      <c r="C12" s="111"/>
      <c r="D12" s="111"/>
      <c r="E12" s="112"/>
      <c r="F12" s="110"/>
      <c r="G12" s="111"/>
      <c r="H12" s="113"/>
      <c r="I12" s="110"/>
      <c r="J12" s="111"/>
      <c r="K12" s="113"/>
      <c r="L12" s="112"/>
      <c r="M12" s="112"/>
      <c r="N12" s="113"/>
    </row>
    <row r="13" spans="1:14">
      <c r="A13" s="115" t="s">
        <v>205</v>
      </c>
      <c r="B13" s="110"/>
      <c r="C13" s="111"/>
      <c r="D13" s="111"/>
      <c r="E13" s="112"/>
      <c r="F13" s="110"/>
      <c r="G13" s="111"/>
      <c r="H13" s="113"/>
      <c r="I13" s="110"/>
      <c r="J13" s="111"/>
      <c r="K13" s="113"/>
      <c r="L13" s="112"/>
      <c r="M13" s="112"/>
      <c r="N13" s="113"/>
    </row>
    <row r="14" spans="1:14">
      <c r="A14" s="115"/>
      <c r="B14" s="105"/>
      <c r="C14" s="106"/>
      <c r="D14" s="106"/>
      <c r="E14" s="107"/>
      <c r="F14" s="105"/>
      <c r="G14" s="106"/>
      <c r="H14" s="108"/>
      <c r="I14" s="105"/>
      <c r="J14" s="106"/>
      <c r="K14" s="108"/>
      <c r="L14" s="107"/>
      <c r="M14" s="107"/>
      <c r="N14" s="108"/>
    </row>
    <row r="15" spans="1:14">
      <c r="A15" s="104" t="s">
        <v>225</v>
      </c>
      <c r="B15" s="110"/>
      <c r="C15" s="111"/>
      <c r="D15" s="111"/>
      <c r="E15" s="112"/>
      <c r="F15" s="110"/>
      <c r="G15" s="111"/>
      <c r="H15" s="113"/>
      <c r="I15" s="110"/>
      <c r="J15" s="111"/>
      <c r="K15" s="113"/>
      <c r="L15" s="112"/>
      <c r="M15" s="112"/>
      <c r="N15" s="113"/>
    </row>
    <row r="16" spans="1:14">
      <c r="A16" s="115" t="s">
        <v>207</v>
      </c>
      <c r="B16" s="110"/>
      <c r="C16" s="111"/>
      <c r="D16" s="111"/>
      <c r="E16" s="112"/>
      <c r="F16" s="110"/>
      <c r="G16" s="111"/>
      <c r="H16" s="113"/>
      <c r="I16" s="110"/>
      <c r="J16" s="111"/>
      <c r="K16" s="113"/>
      <c r="L16" s="112"/>
      <c r="M16" s="112"/>
      <c r="N16" s="113"/>
    </row>
    <row r="17" spans="1:14">
      <c r="A17" s="115" t="s">
        <v>208</v>
      </c>
      <c r="B17" s="110"/>
      <c r="C17" s="111"/>
      <c r="D17" s="111"/>
      <c r="E17" s="112"/>
      <c r="F17" s="110"/>
      <c r="G17" s="111"/>
      <c r="H17" s="113"/>
      <c r="I17" s="110"/>
      <c r="J17" s="111"/>
      <c r="K17" s="113"/>
      <c r="L17" s="112"/>
      <c r="M17" s="112"/>
      <c r="N17" s="113"/>
    </row>
    <row r="18" spans="1:14">
      <c r="A18" s="115" t="s">
        <v>209</v>
      </c>
      <c r="B18" s="110"/>
      <c r="C18" s="111"/>
      <c r="D18" s="111"/>
      <c r="E18" s="112"/>
      <c r="F18" s="110"/>
      <c r="G18" s="111"/>
      <c r="H18" s="113"/>
      <c r="I18" s="110"/>
      <c r="J18" s="111"/>
      <c r="K18" s="113"/>
      <c r="L18" s="112"/>
      <c r="M18" s="112"/>
      <c r="N18" s="113"/>
    </row>
    <row r="19" spans="1:14">
      <c r="A19" s="115" t="s">
        <v>210</v>
      </c>
      <c r="B19" s="110"/>
      <c r="C19" s="111"/>
      <c r="D19" s="111"/>
      <c r="E19" s="112"/>
      <c r="F19" s="110"/>
      <c r="G19" s="111"/>
      <c r="H19" s="113"/>
      <c r="I19" s="110"/>
      <c r="J19" s="111"/>
      <c r="K19" s="113"/>
      <c r="L19" s="112"/>
      <c r="M19" s="112"/>
      <c r="N19" s="113"/>
    </row>
    <row r="20" spans="1:14" ht="22.5">
      <c r="A20" s="115" t="s">
        <v>211</v>
      </c>
      <c r="B20" s="110"/>
      <c r="C20" s="111"/>
      <c r="D20" s="111"/>
      <c r="E20" s="112"/>
      <c r="F20" s="110"/>
      <c r="G20" s="111"/>
      <c r="H20" s="113"/>
      <c r="I20" s="110"/>
      <c r="J20" s="111"/>
      <c r="K20" s="113"/>
      <c r="L20" s="112"/>
      <c r="M20" s="112"/>
      <c r="N20" s="113"/>
    </row>
    <row r="21" spans="1:14">
      <c r="A21" s="116"/>
      <c r="B21" s="110"/>
      <c r="C21" s="111"/>
      <c r="D21" s="111"/>
      <c r="E21" s="112"/>
      <c r="F21" s="110"/>
      <c r="G21" s="111"/>
      <c r="H21" s="113"/>
      <c r="I21" s="110"/>
      <c r="J21" s="111"/>
      <c r="K21" s="113"/>
      <c r="L21" s="112"/>
      <c r="M21" s="112"/>
      <c r="N21" s="113"/>
    </row>
    <row r="22" spans="1:14">
      <c r="A22" s="117" t="s">
        <v>226</v>
      </c>
      <c r="B22" s="110"/>
      <c r="C22" s="111"/>
      <c r="D22" s="111"/>
      <c r="E22" s="112"/>
      <c r="F22" s="110"/>
      <c r="G22" s="111"/>
      <c r="H22" s="113"/>
      <c r="I22" s="110"/>
      <c r="J22" s="111"/>
      <c r="K22" s="113"/>
      <c r="L22" s="112"/>
      <c r="M22" s="112"/>
      <c r="N22" s="113"/>
    </row>
    <row r="23" spans="1:14">
      <c r="A23" s="115" t="s">
        <v>212</v>
      </c>
      <c r="B23" s="110"/>
      <c r="C23" s="111"/>
      <c r="D23" s="111"/>
      <c r="E23" s="112"/>
      <c r="F23" s="110"/>
      <c r="G23" s="111"/>
      <c r="H23" s="113"/>
      <c r="I23" s="110"/>
      <c r="J23" s="111"/>
      <c r="K23" s="113"/>
      <c r="L23" s="112"/>
      <c r="M23" s="112"/>
      <c r="N23" s="113"/>
    </row>
    <row r="24" spans="1:14">
      <c r="A24" s="115" t="s">
        <v>213</v>
      </c>
      <c r="B24" s="110"/>
      <c r="C24" s="111"/>
      <c r="D24" s="111"/>
      <c r="E24" s="112"/>
      <c r="F24" s="110"/>
      <c r="G24" s="111"/>
      <c r="H24" s="113"/>
      <c r="I24" s="110"/>
      <c r="J24" s="111"/>
      <c r="K24" s="113"/>
      <c r="L24" s="112"/>
      <c r="M24" s="112"/>
      <c r="N24" s="113"/>
    </row>
    <row r="25" spans="1:14">
      <c r="A25" s="115" t="s">
        <v>214</v>
      </c>
      <c r="B25" s="110"/>
      <c r="C25" s="111"/>
      <c r="D25" s="111"/>
      <c r="E25" s="112"/>
      <c r="F25" s="110"/>
      <c r="G25" s="111"/>
      <c r="H25" s="113"/>
      <c r="I25" s="110"/>
      <c r="J25" s="111"/>
      <c r="K25" s="113"/>
      <c r="L25" s="112"/>
      <c r="M25" s="112"/>
      <c r="N25" s="113"/>
    </row>
    <row r="26" spans="1:14">
      <c r="A26" s="115"/>
      <c r="B26" s="110"/>
      <c r="C26" s="111"/>
      <c r="D26" s="111"/>
      <c r="E26" s="112"/>
      <c r="F26" s="110"/>
      <c r="G26" s="111"/>
      <c r="H26" s="113"/>
      <c r="I26" s="110"/>
      <c r="J26" s="111"/>
      <c r="K26" s="113"/>
      <c r="L26" s="112"/>
      <c r="M26" s="112"/>
      <c r="N26" s="113"/>
    </row>
    <row r="27" spans="1:14">
      <c r="A27" s="117" t="s">
        <v>227</v>
      </c>
      <c r="B27" s="110"/>
      <c r="C27" s="111"/>
      <c r="D27" s="111"/>
      <c r="E27" s="112"/>
      <c r="F27" s="110"/>
      <c r="G27" s="111"/>
      <c r="H27" s="113"/>
      <c r="I27" s="110"/>
      <c r="J27" s="111"/>
      <c r="K27" s="113"/>
      <c r="L27" s="112"/>
      <c r="M27" s="112"/>
      <c r="N27" s="113"/>
    </row>
    <row r="28" spans="1:14">
      <c r="A28" s="115" t="s">
        <v>215</v>
      </c>
      <c r="B28" s="110"/>
      <c r="C28" s="111"/>
      <c r="D28" s="111"/>
      <c r="E28" s="112"/>
      <c r="F28" s="110"/>
      <c r="G28" s="111"/>
      <c r="H28" s="113"/>
      <c r="I28" s="110"/>
      <c r="J28" s="111"/>
      <c r="K28" s="113"/>
      <c r="L28" s="112"/>
      <c r="M28" s="112"/>
      <c r="N28" s="113"/>
    </row>
    <row r="29" spans="1:14">
      <c r="A29" s="115" t="s">
        <v>213</v>
      </c>
      <c r="B29" s="110"/>
      <c r="C29" s="111"/>
      <c r="D29" s="111"/>
      <c r="E29" s="112"/>
      <c r="F29" s="110"/>
      <c r="G29" s="111"/>
      <c r="H29" s="113"/>
      <c r="I29" s="110"/>
      <c r="J29" s="111"/>
      <c r="K29" s="113"/>
      <c r="L29" s="112"/>
      <c r="M29" s="112"/>
      <c r="N29" s="113"/>
    </row>
    <row r="30" spans="1:14">
      <c r="A30" s="115"/>
      <c r="B30" s="110"/>
      <c r="C30" s="111"/>
      <c r="D30" s="111"/>
      <c r="E30" s="112"/>
      <c r="F30" s="110"/>
      <c r="G30" s="111"/>
      <c r="H30" s="113"/>
      <c r="I30" s="110"/>
      <c r="J30" s="111"/>
      <c r="K30" s="113"/>
      <c r="L30" s="112"/>
      <c r="M30" s="112"/>
      <c r="N30" s="113"/>
    </row>
    <row r="31" spans="1:14">
      <c r="A31" s="117" t="s">
        <v>228</v>
      </c>
      <c r="B31" s="110"/>
      <c r="C31" s="111"/>
      <c r="D31" s="111"/>
      <c r="E31" s="112"/>
      <c r="F31" s="110"/>
      <c r="G31" s="111"/>
      <c r="H31" s="113"/>
      <c r="I31" s="110"/>
      <c r="J31" s="111"/>
      <c r="K31" s="113"/>
      <c r="L31" s="112"/>
      <c r="M31" s="112"/>
      <c r="N31" s="113"/>
    </row>
    <row r="32" spans="1:14">
      <c r="A32" s="115" t="s">
        <v>216</v>
      </c>
      <c r="B32" s="110"/>
      <c r="C32" s="111"/>
      <c r="D32" s="111"/>
      <c r="E32" s="112"/>
      <c r="F32" s="110"/>
      <c r="G32" s="111"/>
      <c r="H32" s="113"/>
      <c r="I32" s="110"/>
      <c r="J32" s="111"/>
      <c r="K32" s="113"/>
      <c r="L32" s="112"/>
      <c r="M32" s="112"/>
      <c r="N32" s="113"/>
    </row>
    <row r="33" spans="1:14">
      <c r="A33" s="115" t="s">
        <v>214</v>
      </c>
      <c r="B33" s="110"/>
      <c r="C33" s="111"/>
      <c r="D33" s="111"/>
      <c r="E33" s="112"/>
      <c r="F33" s="110"/>
      <c r="G33" s="111"/>
      <c r="H33" s="113"/>
      <c r="I33" s="110"/>
      <c r="J33" s="111"/>
      <c r="K33" s="113"/>
      <c r="L33" s="112"/>
      <c r="M33" s="112"/>
      <c r="N33" s="113"/>
    </row>
    <row r="34" spans="1:14">
      <c r="A34" s="115" t="s">
        <v>217</v>
      </c>
      <c r="B34" s="110"/>
      <c r="C34" s="111"/>
      <c r="D34" s="111"/>
      <c r="E34" s="112"/>
      <c r="F34" s="110"/>
      <c r="G34" s="111"/>
      <c r="H34" s="113"/>
      <c r="I34" s="110"/>
      <c r="J34" s="111"/>
      <c r="K34" s="113"/>
      <c r="L34" s="112"/>
      <c r="M34" s="112"/>
      <c r="N34" s="113"/>
    </row>
    <row r="35" spans="1:14">
      <c r="A35" s="115" t="s">
        <v>218</v>
      </c>
      <c r="B35" s="110"/>
      <c r="C35" s="111"/>
      <c r="D35" s="111"/>
      <c r="E35" s="112"/>
      <c r="F35" s="110"/>
      <c r="G35" s="111"/>
      <c r="H35" s="113"/>
      <c r="I35" s="110"/>
      <c r="J35" s="111"/>
      <c r="K35" s="113"/>
      <c r="L35" s="112"/>
      <c r="M35" s="112"/>
      <c r="N35" s="113"/>
    </row>
    <row r="36" spans="1:14">
      <c r="A36" s="115"/>
      <c r="B36" s="110"/>
      <c r="C36" s="111"/>
      <c r="D36" s="111"/>
      <c r="E36" s="112"/>
      <c r="F36" s="110"/>
      <c r="G36" s="111"/>
      <c r="H36" s="113"/>
      <c r="I36" s="110"/>
      <c r="J36" s="111"/>
      <c r="K36" s="113"/>
      <c r="L36" s="112"/>
      <c r="M36" s="112"/>
      <c r="N36" s="113"/>
    </row>
    <row r="37" spans="1:14">
      <c r="A37" s="117" t="s">
        <v>229</v>
      </c>
      <c r="B37" s="110"/>
      <c r="C37" s="111"/>
      <c r="D37" s="111"/>
      <c r="E37" s="112"/>
      <c r="F37" s="110"/>
      <c r="G37" s="111"/>
      <c r="H37" s="113"/>
      <c r="I37" s="110"/>
      <c r="J37" s="111"/>
      <c r="K37" s="113"/>
      <c r="L37" s="112"/>
      <c r="M37" s="112"/>
      <c r="N37" s="113"/>
    </row>
    <row r="38" spans="1:14">
      <c r="A38" s="115" t="s">
        <v>219</v>
      </c>
      <c r="B38" s="110"/>
      <c r="C38" s="111"/>
      <c r="D38" s="111"/>
      <c r="E38" s="112"/>
      <c r="F38" s="110"/>
      <c r="G38" s="111"/>
      <c r="H38" s="113"/>
      <c r="I38" s="110"/>
      <c r="J38" s="111"/>
      <c r="K38" s="113"/>
      <c r="L38" s="112"/>
      <c r="M38" s="112"/>
      <c r="N38" s="113"/>
    </row>
    <row r="39" spans="1:14">
      <c r="A39" s="115" t="s">
        <v>220</v>
      </c>
      <c r="B39" s="110"/>
      <c r="C39" s="111"/>
      <c r="D39" s="111"/>
      <c r="E39" s="112"/>
      <c r="F39" s="110"/>
      <c r="G39" s="111"/>
      <c r="H39" s="113"/>
      <c r="I39" s="110"/>
      <c r="J39" s="111"/>
      <c r="K39" s="113"/>
      <c r="L39" s="112"/>
      <c r="M39" s="112"/>
      <c r="N39" s="113"/>
    </row>
    <row r="40" spans="1:14" ht="22.5">
      <c r="A40" s="115" t="s">
        <v>221</v>
      </c>
      <c r="B40" s="110"/>
      <c r="C40" s="111"/>
      <c r="D40" s="111"/>
      <c r="E40" s="112"/>
      <c r="F40" s="110"/>
      <c r="G40" s="111"/>
      <c r="H40" s="113"/>
      <c r="I40" s="110"/>
      <c r="J40" s="111"/>
      <c r="K40" s="113"/>
      <c r="L40" s="112"/>
      <c r="M40" s="112"/>
      <c r="N40" s="113"/>
    </row>
    <row r="41" spans="1:14" ht="22.5">
      <c r="A41" s="115" t="s">
        <v>222</v>
      </c>
      <c r="B41" s="110"/>
      <c r="C41" s="111"/>
      <c r="D41" s="111"/>
      <c r="E41" s="112"/>
      <c r="F41" s="110"/>
      <c r="G41" s="111"/>
      <c r="H41" s="113"/>
      <c r="I41" s="110"/>
      <c r="J41" s="111"/>
      <c r="K41" s="113"/>
      <c r="L41" s="112"/>
      <c r="M41" s="112"/>
      <c r="N41" s="113"/>
    </row>
    <row r="42" spans="1:14">
      <c r="A42" s="115"/>
      <c r="B42" s="110"/>
      <c r="C42" s="111"/>
      <c r="D42" s="111"/>
      <c r="E42" s="112"/>
      <c r="F42" s="110"/>
      <c r="G42" s="111"/>
      <c r="H42" s="113"/>
      <c r="I42" s="110"/>
      <c r="J42" s="111"/>
      <c r="K42" s="113"/>
      <c r="L42" s="112"/>
      <c r="M42" s="112"/>
      <c r="N42" s="113"/>
    </row>
    <row r="43" spans="1:14">
      <c r="A43" s="117" t="s">
        <v>230</v>
      </c>
      <c r="B43" s="110"/>
      <c r="C43" s="111"/>
      <c r="D43" s="111"/>
      <c r="E43" s="112"/>
      <c r="F43" s="110"/>
      <c r="G43" s="111"/>
      <c r="H43" s="113"/>
      <c r="I43" s="110"/>
      <c r="J43" s="111"/>
      <c r="K43" s="113"/>
      <c r="L43" s="112"/>
      <c r="M43" s="112"/>
      <c r="N43" s="113"/>
    </row>
    <row r="44" spans="1:14">
      <c r="A44" s="115" t="s">
        <v>223</v>
      </c>
      <c r="B44" s="110"/>
      <c r="C44" s="111"/>
      <c r="D44" s="111"/>
      <c r="E44" s="112"/>
      <c r="F44" s="110"/>
      <c r="G44" s="111"/>
      <c r="H44" s="113"/>
      <c r="I44" s="110"/>
      <c r="J44" s="111"/>
      <c r="K44" s="113"/>
      <c r="L44" s="112"/>
      <c r="M44" s="112"/>
      <c r="N44" s="113"/>
    </row>
    <row r="45" spans="1:14" s="37" customFormat="1" ht="22.5">
      <c r="A45" s="115" t="s">
        <v>224</v>
      </c>
      <c r="B45" s="110"/>
      <c r="C45" s="111"/>
      <c r="D45" s="111"/>
      <c r="E45" s="112"/>
      <c r="F45" s="110"/>
      <c r="G45" s="111"/>
      <c r="H45" s="113"/>
      <c r="I45" s="110"/>
      <c r="J45" s="111"/>
      <c r="K45" s="113"/>
      <c r="L45" s="112"/>
      <c r="M45" s="112"/>
      <c r="N45" s="113"/>
    </row>
    <row r="46" spans="1:14" ht="12" thickBot="1">
      <c r="A46" s="118"/>
      <c r="B46" s="110"/>
      <c r="C46" s="111"/>
      <c r="D46" s="111"/>
      <c r="E46" s="112"/>
      <c r="F46" s="110"/>
      <c r="G46" s="111"/>
      <c r="H46" s="113"/>
      <c r="I46" s="110"/>
      <c r="J46" s="111"/>
      <c r="K46" s="113"/>
      <c r="L46" s="112"/>
      <c r="M46" s="112"/>
      <c r="N46" s="113"/>
    </row>
    <row r="47" spans="1:14" s="35" customFormat="1">
      <c r="A47" s="119"/>
      <c r="B47" s="131"/>
      <c r="C47" s="132"/>
      <c r="D47" s="138"/>
      <c r="E47" s="135"/>
      <c r="F47" s="131"/>
      <c r="G47" s="134"/>
      <c r="H47" s="135"/>
      <c r="I47" s="131"/>
      <c r="J47" s="132"/>
      <c r="K47" s="133"/>
      <c r="L47" s="134"/>
      <c r="M47" s="134"/>
      <c r="N47" s="135"/>
    </row>
    <row r="48" spans="1:14" s="35" customFormat="1" ht="12" thickBot="1">
      <c r="A48" s="120" t="s">
        <v>0</v>
      </c>
      <c r="B48" s="121"/>
      <c r="C48" s="122"/>
      <c r="D48" s="137"/>
      <c r="E48" s="124"/>
      <c r="F48" s="121"/>
      <c r="G48" s="123"/>
      <c r="H48" s="124"/>
      <c r="I48" s="121"/>
      <c r="J48" s="122"/>
      <c r="K48" s="130"/>
      <c r="L48" s="123"/>
      <c r="M48" s="123"/>
      <c r="N48" s="124"/>
    </row>
    <row r="49" spans="1:14" s="35" customFormat="1" ht="12.75" thickTop="1" thickBot="1">
      <c r="A49" s="125" t="s">
        <v>17</v>
      </c>
      <c r="B49" s="126"/>
      <c r="C49" s="127"/>
      <c r="D49" s="139"/>
      <c r="E49" s="129"/>
      <c r="F49" s="126"/>
      <c r="G49" s="128"/>
      <c r="H49" s="129"/>
      <c r="I49" s="126"/>
      <c r="J49" s="127"/>
      <c r="K49" s="136"/>
      <c r="L49" s="128"/>
      <c r="M49" s="128"/>
      <c r="N49" s="129"/>
    </row>
    <row r="50" spans="1:14">
      <c r="A50" s="9" t="s">
        <v>388</v>
      </c>
      <c r="B50" s="9"/>
      <c r="C50" s="9"/>
      <c r="D50" s="9"/>
      <c r="E50" s="9"/>
      <c r="F50" s="9"/>
      <c r="G50" s="9"/>
      <c r="H50" s="9"/>
      <c r="I50" s="9"/>
      <c r="J50" s="9"/>
      <c r="K50" s="9"/>
      <c r="L50" s="9"/>
      <c r="M50" s="9"/>
      <c r="N50" s="9"/>
    </row>
    <row r="51" spans="1:14">
      <c r="A51" s="9" t="s">
        <v>389</v>
      </c>
      <c r="B51" s="9"/>
      <c r="C51" s="9"/>
      <c r="D51" s="9"/>
      <c r="E51" s="9"/>
      <c r="F51" s="9"/>
      <c r="G51" s="9"/>
      <c r="H51" s="9"/>
      <c r="I51" s="9"/>
      <c r="J51" s="9"/>
      <c r="K51" s="9"/>
      <c r="L51" s="9"/>
      <c r="M51" s="9"/>
      <c r="N51" s="9"/>
    </row>
  </sheetData>
  <mergeCells count="4">
    <mergeCell ref="I3:N3"/>
    <mergeCell ref="B3:E3"/>
    <mergeCell ref="F3:H3"/>
    <mergeCell ref="A3:A4"/>
  </mergeCells>
  <printOptions horizontalCentered="1"/>
  <pageMargins left="0.23622047244094491" right="0.23622047244094491" top="0.74803149606299213" bottom="0.74803149606299213" header="0.31496062992125984" footer="0.31496062992125984"/>
  <pageSetup paperSize="9" scale="70" orientation="landscape" r:id="rId1"/>
  <headerFooter alignWithMargins="0">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3">
    <tabColor theme="8" tint="-0.249977111117893"/>
  </sheetPr>
  <dimension ref="A1:V21"/>
  <sheetViews>
    <sheetView showGridLines="0" topLeftCell="A13" zoomScaleNormal="100" zoomScaleSheetLayoutView="90" workbookViewId="0">
      <selection activeCell="S20" sqref="S20"/>
    </sheetView>
  </sheetViews>
  <sheetFormatPr baseColWidth="10" defaultColWidth="11.28515625" defaultRowHeight="11.25"/>
  <cols>
    <col min="1" max="1" width="28.7109375" style="36" customWidth="1"/>
    <col min="2" max="2" width="7" style="36" customWidth="1"/>
    <col min="3" max="8" width="12.7109375" style="36" customWidth="1"/>
    <col min="9" max="10" width="7" style="36" customWidth="1"/>
    <col min="11" max="11" width="12.7109375" style="36" customWidth="1"/>
    <col min="12" max="12" width="7" style="36" customWidth="1"/>
    <col min="13" max="13" width="12.7109375" style="36" customWidth="1"/>
    <col min="14" max="15" width="7" style="36" customWidth="1"/>
    <col min="16" max="16" width="12.7109375" style="36" customWidth="1"/>
    <col min="17" max="17" width="7" style="36" customWidth="1"/>
    <col min="18" max="16384" width="11.28515625" style="36"/>
  </cols>
  <sheetData>
    <row r="1" spans="1:22" s="35" customFormat="1">
      <c r="A1" s="33" t="s">
        <v>390</v>
      </c>
      <c r="B1" s="38"/>
      <c r="C1" s="38"/>
      <c r="D1" s="38"/>
      <c r="E1" s="38"/>
    </row>
    <row r="2" spans="1:22" s="35" customFormat="1" ht="12" thickBot="1">
      <c r="A2" s="34" t="s">
        <v>438</v>
      </c>
      <c r="B2" s="34"/>
      <c r="C2" s="34"/>
      <c r="D2" s="34"/>
      <c r="E2" s="34"/>
      <c r="F2" s="34"/>
      <c r="G2" s="34"/>
      <c r="H2" s="34"/>
      <c r="I2" s="34"/>
      <c r="J2" s="34"/>
      <c r="K2" s="34"/>
      <c r="L2" s="34"/>
      <c r="M2" s="34"/>
      <c r="N2" s="34"/>
      <c r="O2" s="34"/>
      <c r="P2" s="34"/>
      <c r="Q2" s="34"/>
      <c r="R2" s="34"/>
      <c r="S2" s="34"/>
      <c r="T2" s="34"/>
      <c r="U2" s="34"/>
      <c r="V2" s="34"/>
    </row>
    <row r="3" spans="1:22" ht="12" thickBot="1">
      <c r="A3" s="1681" t="s">
        <v>1</v>
      </c>
      <c r="B3" s="1679" t="s">
        <v>391</v>
      </c>
      <c r="C3" s="1680"/>
      <c r="D3" s="1680"/>
      <c r="E3" s="1680"/>
      <c r="F3" s="1680"/>
      <c r="G3" s="1680"/>
      <c r="H3" s="1678"/>
      <c r="I3" s="1677" t="s">
        <v>392</v>
      </c>
      <c r="J3" s="1680"/>
      <c r="K3" s="1680"/>
      <c r="L3" s="1680"/>
      <c r="M3" s="1678"/>
      <c r="N3" s="1677" t="s">
        <v>393</v>
      </c>
      <c r="O3" s="1678"/>
      <c r="P3" s="1677" t="s">
        <v>0</v>
      </c>
      <c r="Q3" s="1678"/>
    </row>
    <row r="4" spans="1:22" s="50" customFormat="1" ht="80.25" customHeight="1" thickBot="1">
      <c r="A4" s="1682"/>
      <c r="B4" s="63" t="s">
        <v>267</v>
      </c>
      <c r="C4" s="64" t="s">
        <v>268</v>
      </c>
      <c r="D4" s="63" t="s">
        <v>269</v>
      </c>
      <c r="E4" s="63" t="s">
        <v>270</v>
      </c>
      <c r="F4" s="63" t="s">
        <v>271</v>
      </c>
      <c r="G4" s="62" t="s">
        <v>272</v>
      </c>
      <c r="H4" s="62" t="s">
        <v>273</v>
      </c>
      <c r="I4" s="63" t="s">
        <v>274</v>
      </c>
      <c r="J4" s="62" t="s">
        <v>272</v>
      </c>
      <c r="K4" s="62" t="s">
        <v>275</v>
      </c>
      <c r="L4" s="62" t="s">
        <v>276</v>
      </c>
      <c r="M4" s="62" t="s">
        <v>277</v>
      </c>
      <c r="N4" s="62" t="s">
        <v>278</v>
      </c>
      <c r="O4" s="64" t="s">
        <v>279</v>
      </c>
      <c r="P4" s="63" t="s">
        <v>16</v>
      </c>
      <c r="Q4" s="62" t="s">
        <v>18</v>
      </c>
    </row>
    <row r="5" spans="1:22">
      <c r="A5" s="51"/>
      <c r="B5" s="45"/>
      <c r="C5" s="46"/>
      <c r="D5" s="45"/>
      <c r="E5" s="47"/>
      <c r="F5" s="47"/>
      <c r="G5" s="47"/>
      <c r="H5" s="188"/>
      <c r="I5" s="47"/>
      <c r="J5" s="47"/>
      <c r="K5" s="47"/>
      <c r="L5" s="47"/>
      <c r="M5" s="47"/>
      <c r="N5" s="47"/>
      <c r="O5" s="47"/>
      <c r="P5" s="46"/>
      <c r="Q5" s="190"/>
    </row>
    <row r="6" spans="1:22" s="191" customFormat="1" ht="24.95" customHeight="1">
      <c r="A6" s="200" t="s">
        <v>44</v>
      </c>
      <c r="B6" s="201"/>
      <c r="C6" s="202">
        <v>43668318</v>
      </c>
      <c r="D6" s="201">
        <v>7984321</v>
      </c>
      <c r="E6" s="203">
        <v>8713522</v>
      </c>
      <c r="F6" s="203"/>
      <c r="G6" s="203">
        <v>200000</v>
      </c>
      <c r="H6" s="204">
        <f t="shared" ref="H6:H11" si="0">SUM(B6:G6)</f>
        <v>60566161</v>
      </c>
      <c r="I6" s="203"/>
      <c r="J6" s="203"/>
      <c r="K6" s="203">
        <v>4395332</v>
      </c>
      <c r="L6" s="203"/>
      <c r="M6" s="204">
        <f>SUM(I6:L6)</f>
        <v>4395332</v>
      </c>
      <c r="N6" s="203"/>
      <c r="O6" s="203"/>
      <c r="P6" s="202">
        <f>+H6+M6</f>
        <v>64961493</v>
      </c>
      <c r="Q6" s="198">
        <f>+P6/$P$20</f>
        <v>0.13643455259545165</v>
      </c>
    </row>
    <row r="7" spans="1:22" s="191" customFormat="1" ht="24.95" customHeight="1">
      <c r="A7" s="205" t="s">
        <v>45</v>
      </c>
      <c r="B7" s="206"/>
      <c r="C7" s="207">
        <v>8192701</v>
      </c>
      <c r="D7" s="206">
        <v>5250465</v>
      </c>
      <c r="E7" s="208">
        <v>154979066</v>
      </c>
      <c r="F7" s="208">
        <v>16544076</v>
      </c>
      <c r="G7" s="208">
        <v>139496</v>
      </c>
      <c r="H7" s="209">
        <f t="shared" si="0"/>
        <v>185105804</v>
      </c>
      <c r="I7" s="208"/>
      <c r="J7" s="208"/>
      <c r="K7" s="208">
        <v>114787834</v>
      </c>
      <c r="L7" s="208"/>
      <c r="M7" s="209">
        <f>SUM(I7:L7)</f>
        <v>114787834</v>
      </c>
      <c r="N7" s="208"/>
      <c r="O7" s="208"/>
      <c r="P7" s="207">
        <f>+H7+M7</f>
        <v>299893638</v>
      </c>
      <c r="Q7" s="199">
        <f>+P7/$P$20</f>
        <v>0.62984781348471075</v>
      </c>
    </row>
    <row r="8" spans="1:22" s="191" customFormat="1" ht="24.95" customHeight="1">
      <c r="A8" s="205" t="s">
        <v>46</v>
      </c>
      <c r="B8" s="206"/>
      <c r="C8" s="207"/>
      <c r="D8" s="206"/>
      <c r="E8" s="208"/>
      <c r="F8" s="208"/>
      <c r="G8" s="208"/>
      <c r="H8" s="209">
        <f t="shared" si="0"/>
        <v>0</v>
      </c>
      <c r="I8" s="208"/>
      <c r="J8" s="208"/>
      <c r="K8" s="208"/>
      <c r="L8" s="208"/>
      <c r="M8" s="209"/>
      <c r="N8" s="208"/>
      <c r="O8" s="208"/>
      <c r="P8" s="207"/>
      <c r="Q8" s="199"/>
    </row>
    <row r="9" spans="1:22" s="191" customFormat="1" ht="24.95" customHeight="1">
      <c r="A9" s="205" t="s">
        <v>92</v>
      </c>
      <c r="B9" s="206"/>
      <c r="C9" s="207"/>
      <c r="D9" s="206"/>
      <c r="E9" s="208"/>
      <c r="F9" s="208"/>
      <c r="G9" s="208"/>
      <c r="H9" s="209">
        <f t="shared" si="0"/>
        <v>0</v>
      </c>
      <c r="I9" s="208"/>
      <c r="J9" s="208"/>
      <c r="K9" s="208"/>
      <c r="L9" s="208"/>
      <c r="M9" s="209"/>
      <c r="N9" s="208"/>
      <c r="O9" s="208"/>
      <c r="P9" s="207"/>
      <c r="Q9" s="199"/>
    </row>
    <row r="10" spans="1:22" s="191" customFormat="1" ht="24.95" customHeight="1">
      <c r="A10" s="205" t="s">
        <v>47</v>
      </c>
      <c r="B10" s="206"/>
      <c r="C10" s="207"/>
      <c r="D10" s="206"/>
      <c r="E10" s="208">
        <v>6839200</v>
      </c>
      <c r="F10" s="208"/>
      <c r="G10" s="208"/>
      <c r="H10" s="209">
        <f t="shared" si="0"/>
        <v>6839200</v>
      </c>
      <c r="I10" s="208"/>
      <c r="J10" s="208"/>
      <c r="K10" s="208"/>
      <c r="L10" s="208"/>
      <c r="M10" s="209"/>
      <c r="N10" s="208"/>
      <c r="O10" s="208"/>
      <c r="P10" s="207">
        <f>+H10+M10</f>
        <v>6839200</v>
      </c>
      <c r="Q10" s="199">
        <f>+P10/$P$20</f>
        <v>1.4363943145684982E-2</v>
      </c>
    </row>
    <row r="11" spans="1:22" s="191" customFormat="1" ht="24.95" customHeight="1">
      <c r="A11" s="205" t="s">
        <v>48</v>
      </c>
      <c r="B11" s="206"/>
      <c r="C11" s="207">
        <f>SUM(C13:C18)</f>
        <v>0</v>
      </c>
      <c r="D11" s="206">
        <f t="shared" ref="D11:L11" si="1">SUM(D13:D18)</f>
        <v>0</v>
      </c>
      <c r="E11" s="208">
        <f t="shared" si="1"/>
        <v>0</v>
      </c>
      <c r="F11" s="208">
        <f t="shared" si="1"/>
        <v>0</v>
      </c>
      <c r="G11" s="208">
        <f t="shared" si="1"/>
        <v>0</v>
      </c>
      <c r="H11" s="209">
        <f t="shared" si="0"/>
        <v>0</v>
      </c>
      <c r="I11" s="208">
        <f t="shared" si="1"/>
        <v>0</v>
      </c>
      <c r="J11" s="208">
        <f t="shared" si="1"/>
        <v>0</v>
      </c>
      <c r="K11" s="208">
        <f t="shared" si="1"/>
        <v>104442335</v>
      </c>
      <c r="L11" s="208">
        <f t="shared" si="1"/>
        <v>0</v>
      </c>
      <c r="M11" s="209">
        <f>SUM(I11:L11)</f>
        <v>104442335</v>
      </c>
      <c r="N11" s="208"/>
      <c r="O11" s="208"/>
      <c r="P11" s="207">
        <f>+H11+M11</f>
        <v>104442335</v>
      </c>
      <c r="Q11" s="199">
        <f>+P11/$P$20</f>
        <v>0.21935369077415265</v>
      </c>
    </row>
    <row r="12" spans="1:22">
      <c r="A12" s="51"/>
      <c r="B12" s="45"/>
      <c r="C12" s="46"/>
      <c r="D12" s="45"/>
      <c r="E12" s="47"/>
      <c r="F12" s="47"/>
      <c r="G12" s="47"/>
      <c r="H12" s="188"/>
      <c r="I12" s="47"/>
      <c r="J12" s="47"/>
      <c r="K12" s="47"/>
      <c r="L12" s="47"/>
      <c r="M12" s="188"/>
      <c r="N12" s="47"/>
      <c r="O12" s="47"/>
      <c r="P12" s="46"/>
      <c r="Q12" s="193"/>
    </row>
    <row r="13" spans="1:22">
      <c r="A13" s="51" t="s">
        <v>52</v>
      </c>
      <c r="B13" s="45"/>
      <c r="C13" s="46"/>
      <c r="D13" s="45"/>
      <c r="E13" s="47"/>
      <c r="F13" s="47"/>
      <c r="G13" s="47"/>
      <c r="H13" s="188"/>
      <c r="I13" s="47"/>
      <c r="J13" s="47"/>
      <c r="K13" s="47">
        <v>104442335</v>
      </c>
      <c r="L13" s="47"/>
      <c r="M13" s="188"/>
      <c r="N13" s="47"/>
      <c r="O13" s="47"/>
      <c r="P13" s="46"/>
      <c r="Q13" s="190"/>
    </row>
    <row r="14" spans="1:22">
      <c r="A14" s="51" t="s">
        <v>53</v>
      </c>
      <c r="B14" s="45"/>
      <c r="C14" s="46"/>
      <c r="D14" s="45"/>
      <c r="E14" s="47"/>
      <c r="F14" s="47"/>
      <c r="G14" s="47"/>
      <c r="H14" s="188"/>
      <c r="I14" s="47"/>
      <c r="J14" s="47"/>
      <c r="K14" s="47"/>
      <c r="L14" s="47"/>
      <c r="M14" s="188"/>
      <c r="N14" s="47"/>
      <c r="O14" s="47"/>
      <c r="P14" s="46"/>
      <c r="Q14" s="190"/>
    </row>
    <row r="15" spans="1:22">
      <c r="A15" s="51" t="s">
        <v>49</v>
      </c>
      <c r="B15" s="45"/>
      <c r="C15" s="46"/>
      <c r="D15" s="45"/>
      <c r="E15" s="47"/>
      <c r="F15" s="47"/>
      <c r="G15" s="47"/>
      <c r="H15" s="188"/>
      <c r="I15" s="47"/>
      <c r="J15" s="47"/>
      <c r="K15" s="47"/>
      <c r="L15" s="47"/>
      <c r="M15" s="188"/>
      <c r="N15" s="47"/>
      <c r="O15" s="47"/>
      <c r="P15" s="46"/>
      <c r="Q15" s="190"/>
    </row>
    <row r="16" spans="1:22">
      <c r="A16" s="51" t="s">
        <v>50</v>
      </c>
      <c r="B16" s="45"/>
      <c r="C16" s="46"/>
      <c r="D16" s="45"/>
      <c r="E16" s="47"/>
      <c r="F16" s="47"/>
      <c r="G16" s="47"/>
      <c r="H16" s="188"/>
      <c r="I16" s="47"/>
      <c r="J16" s="47"/>
      <c r="K16" s="47"/>
      <c r="L16" s="47"/>
      <c r="M16" s="188"/>
      <c r="N16" s="47"/>
      <c r="O16" s="47"/>
      <c r="P16" s="46"/>
      <c r="Q16" s="190"/>
    </row>
    <row r="17" spans="1:17">
      <c r="A17" s="51" t="s">
        <v>51</v>
      </c>
      <c r="B17" s="45"/>
      <c r="C17" s="46"/>
      <c r="D17" s="45"/>
      <c r="E17" s="47"/>
      <c r="F17" s="47"/>
      <c r="G17" s="47"/>
      <c r="H17" s="188"/>
      <c r="I17" s="47"/>
      <c r="J17" s="47"/>
      <c r="K17" s="47"/>
      <c r="L17" s="47"/>
      <c r="M17" s="188"/>
      <c r="N17" s="47"/>
      <c r="O17" s="47"/>
      <c r="P17" s="46"/>
      <c r="Q17" s="190"/>
    </row>
    <row r="18" spans="1:17">
      <c r="A18" s="51" t="s">
        <v>83</v>
      </c>
      <c r="B18" s="45"/>
      <c r="C18" s="46"/>
      <c r="D18" s="45"/>
      <c r="E18" s="47"/>
      <c r="F18" s="47"/>
      <c r="G18" s="47"/>
      <c r="H18" s="188"/>
      <c r="I18" s="47"/>
      <c r="J18" s="47"/>
      <c r="K18" s="47"/>
      <c r="L18" s="47"/>
      <c r="M18" s="188"/>
      <c r="N18" s="47"/>
      <c r="O18" s="47"/>
      <c r="P18" s="46"/>
      <c r="Q18" s="190"/>
    </row>
    <row r="19" spans="1:17" ht="12" thickBot="1">
      <c r="A19" s="48"/>
      <c r="B19" s="48"/>
      <c r="C19" s="52"/>
      <c r="D19" s="51"/>
      <c r="E19" s="53"/>
      <c r="F19" s="53"/>
      <c r="G19" s="53"/>
      <c r="H19" s="189"/>
      <c r="I19" s="53"/>
      <c r="J19" s="53"/>
      <c r="K19" s="53"/>
      <c r="L19" s="53"/>
      <c r="M19" s="189"/>
      <c r="N19" s="53"/>
      <c r="O19" s="53"/>
      <c r="P19" s="52"/>
      <c r="Q19" s="190"/>
    </row>
    <row r="20" spans="1:17" s="192" customFormat="1" ht="20.100000000000001" customHeight="1" thickBot="1">
      <c r="A20" s="194" t="s">
        <v>0</v>
      </c>
      <c r="B20" s="195"/>
      <c r="C20" s="196">
        <f t="shared" ref="C20:M20" si="2">SUM(C6:C19)</f>
        <v>51861019</v>
      </c>
      <c r="D20" s="196">
        <f t="shared" si="2"/>
        <v>13234786</v>
      </c>
      <c r="E20" s="196">
        <f t="shared" si="2"/>
        <v>170531788</v>
      </c>
      <c r="F20" s="196">
        <f t="shared" si="2"/>
        <v>16544076</v>
      </c>
      <c r="G20" s="196">
        <f t="shared" si="2"/>
        <v>339496</v>
      </c>
      <c r="H20" s="196">
        <f t="shared" si="2"/>
        <v>252511165</v>
      </c>
      <c r="I20" s="196">
        <f t="shared" si="2"/>
        <v>0</v>
      </c>
      <c r="J20" s="196">
        <f t="shared" si="2"/>
        <v>0</v>
      </c>
      <c r="K20" s="196">
        <f t="shared" si="2"/>
        <v>328067836</v>
      </c>
      <c r="L20" s="196">
        <f t="shared" si="2"/>
        <v>0</v>
      </c>
      <c r="M20" s="196">
        <f t="shared" si="2"/>
        <v>223625501</v>
      </c>
      <c r="N20" s="195"/>
      <c r="O20" s="195"/>
      <c r="P20" s="196">
        <f>SUM(P6:P19)</f>
        <v>476136666</v>
      </c>
      <c r="Q20" s="197">
        <f>+P20/$P$20</f>
        <v>1</v>
      </c>
    </row>
    <row r="21" spans="1:17">
      <c r="A21" s="41"/>
      <c r="B21" s="52"/>
      <c r="C21" s="52"/>
      <c r="D21" s="52"/>
      <c r="E21" s="52"/>
      <c r="F21" s="52"/>
      <c r="G21" s="52"/>
      <c r="H21" s="52"/>
      <c r="I21" s="52"/>
      <c r="J21" s="52"/>
      <c r="K21" s="52"/>
      <c r="L21" s="52"/>
      <c r="M21" s="52"/>
      <c r="N21" s="52"/>
      <c r="O21" s="52"/>
      <c r="P21" s="52"/>
      <c r="Q21" s="52"/>
    </row>
  </sheetData>
  <mergeCells count="5">
    <mergeCell ref="P3:Q3"/>
    <mergeCell ref="B3:H3"/>
    <mergeCell ref="I3:M3"/>
    <mergeCell ref="A3:A4"/>
    <mergeCell ref="N3:O3"/>
  </mergeCells>
  <phoneticPr fontId="0" type="noConversion"/>
  <printOptions horizontalCentered="1"/>
  <pageMargins left="0.23622047244094491" right="0.23622047244094491" top="0.94488188976377963" bottom="0.74803149606299213" header="0.51181102362204722" footer="0.31496062992125984"/>
  <pageSetup paperSize="9" scale="75" orientation="landscape" r:id="rId1"/>
  <headerFooter alignWithMargins="0">
    <oddHeader xml:space="preserve">&amp;C&amp;"Arial,Negrita"&amp;18PROYECTO DEL PRESUPUESTO 2021
</oddHeader>
    <oddFooter>&amp;L&amp;"Arial,Negrita"&amp;8PROYECTO DE PRESUPUESTO PARA EL AÑO FISCAL 2021
INFORMACIÓN PARA LA COMISIÓN DE PRESUPUESTO Y CUENTA GENERAL DE LA REPÚBLICA DEL CONGRESO DE LA REPÚBLICA</oddFooter>
  </headerFooter>
  <ignoredErrors>
    <ignoredError sqref="H11"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6">
    <tabColor theme="8" tint="-0.249977111117893"/>
    <pageSetUpPr fitToPage="1"/>
  </sheetPr>
  <dimension ref="A1:V24"/>
  <sheetViews>
    <sheetView showGridLines="0" zoomScaleNormal="100" zoomScaleSheetLayoutView="70" zoomScalePageLayoutView="90" workbookViewId="0">
      <selection activeCell="A2" sqref="A2"/>
    </sheetView>
  </sheetViews>
  <sheetFormatPr baseColWidth="10" defaultColWidth="11.42578125" defaultRowHeight="12"/>
  <cols>
    <col min="1" max="1" width="25" style="12" customWidth="1"/>
    <col min="2" max="2" width="16.28515625" style="12" bestFit="1" customWidth="1"/>
    <col min="3" max="3" width="8.7109375" style="12" customWidth="1"/>
    <col min="4" max="4" width="13.42578125" style="12" bestFit="1" customWidth="1"/>
    <col min="5" max="5" width="11.85546875" style="12" customWidth="1"/>
    <col min="6" max="6" width="12.42578125" style="12" customWidth="1"/>
    <col min="7" max="7" width="12.28515625" style="12" customWidth="1"/>
    <col min="8" max="8" width="9.85546875" style="12" customWidth="1"/>
    <col min="9" max="9" width="12" style="12" customWidth="1"/>
    <col min="10" max="10" width="11.5703125" style="12" customWidth="1"/>
    <col min="11" max="11" width="8.7109375" style="12" customWidth="1"/>
    <col min="12" max="12" width="12.5703125" style="12" customWidth="1"/>
    <col min="13" max="13" width="8.7109375" style="12" customWidth="1"/>
    <col min="14" max="14" width="11.85546875" style="12" customWidth="1"/>
    <col min="15" max="16" width="8.7109375" style="12" customWidth="1"/>
    <col min="17" max="17" width="13.5703125" style="12" customWidth="1"/>
    <col min="18" max="18" width="8.7109375" style="12" customWidth="1"/>
    <col min="19" max="16384" width="11.42578125" style="12"/>
  </cols>
  <sheetData>
    <row r="1" spans="1:22" s="2" customFormat="1">
      <c r="A1" s="30" t="s">
        <v>394</v>
      </c>
      <c r="B1" s="3"/>
      <c r="C1" s="3"/>
      <c r="D1" s="3"/>
      <c r="E1" s="3"/>
      <c r="F1" s="3"/>
      <c r="G1" s="3"/>
      <c r="H1" s="3"/>
      <c r="I1" s="3"/>
      <c r="J1" s="3"/>
      <c r="K1" s="3"/>
      <c r="L1" s="3"/>
      <c r="M1" s="3"/>
      <c r="N1" s="3"/>
      <c r="O1" s="3"/>
      <c r="P1" s="3"/>
      <c r="Q1" s="3"/>
      <c r="R1" s="3"/>
    </row>
    <row r="2" spans="1:22" s="2" customFormat="1" ht="12.75" thickBot="1">
      <c r="A2" s="31" t="s">
        <v>438</v>
      </c>
      <c r="B2" s="25"/>
      <c r="C2" s="25"/>
      <c r="D2" s="25"/>
      <c r="E2" s="25"/>
      <c r="F2" s="25"/>
      <c r="G2" s="25"/>
      <c r="H2" s="25"/>
      <c r="I2" s="25"/>
      <c r="J2" s="25"/>
      <c r="K2" s="25"/>
      <c r="L2" s="25"/>
      <c r="M2" s="25"/>
      <c r="N2" s="25"/>
      <c r="O2" s="25"/>
      <c r="P2" s="25"/>
      <c r="Q2" s="25"/>
      <c r="R2" s="25"/>
      <c r="S2" s="25"/>
      <c r="T2" s="25"/>
      <c r="U2" s="25"/>
      <c r="V2" s="25"/>
    </row>
    <row r="3" spans="1:22" ht="27" customHeight="1">
      <c r="A3" s="1685" t="s">
        <v>123</v>
      </c>
      <c r="B3" s="1692" t="s">
        <v>124</v>
      </c>
      <c r="C3" s="1687" t="s">
        <v>19</v>
      </c>
      <c r="D3" s="1688"/>
      <c r="E3" s="1688"/>
      <c r="F3" s="1688"/>
      <c r="G3" s="1688"/>
      <c r="H3" s="1688"/>
      <c r="I3" s="1689"/>
      <c r="J3" s="1690" t="s">
        <v>104</v>
      </c>
      <c r="K3" s="1683"/>
      <c r="L3" s="1683"/>
      <c r="M3" s="1683"/>
      <c r="N3" s="1684"/>
      <c r="O3" s="1691" t="s">
        <v>93</v>
      </c>
      <c r="P3" s="1683"/>
      <c r="Q3" s="1683" t="s">
        <v>0</v>
      </c>
      <c r="R3" s="1684"/>
    </row>
    <row r="4" spans="1:22" ht="112.5" customHeight="1" thickBot="1">
      <c r="A4" s="1686"/>
      <c r="B4" s="1693"/>
      <c r="C4" s="65" t="s">
        <v>236</v>
      </c>
      <c r="D4" s="66" t="s">
        <v>237</v>
      </c>
      <c r="E4" s="66" t="s">
        <v>238</v>
      </c>
      <c r="F4" s="66" t="s">
        <v>239</v>
      </c>
      <c r="G4" s="66" t="s">
        <v>240</v>
      </c>
      <c r="H4" s="66" t="s">
        <v>241</v>
      </c>
      <c r="I4" s="67" t="s">
        <v>101</v>
      </c>
      <c r="J4" s="65" t="s">
        <v>240</v>
      </c>
      <c r="K4" s="66" t="s">
        <v>241</v>
      </c>
      <c r="L4" s="66" t="s">
        <v>242</v>
      </c>
      <c r="M4" s="66" t="s">
        <v>243</v>
      </c>
      <c r="N4" s="67" t="s">
        <v>102</v>
      </c>
      <c r="O4" s="68" t="s">
        <v>244</v>
      </c>
      <c r="P4" s="66" t="s">
        <v>103</v>
      </c>
      <c r="Q4" s="69" t="s">
        <v>40</v>
      </c>
      <c r="R4" s="70" t="s">
        <v>91</v>
      </c>
    </row>
    <row r="5" spans="1:22" s="216" customFormat="1" ht="20.100000000000001" customHeight="1">
      <c r="A5" s="210" t="s">
        <v>125</v>
      </c>
      <c r="B5" s="211">
        <v>2019</v>
      </c>
      <c r="C5" s="212"/>
      <c r="D5" s="213">
        <v>12669679</v>
      </c>
      <c r="E5" s="213">
        <v>3318770</v>
      </c>
      <c r="F5" s="213">
        <v>71618117</v>
      </c>
      <c r="G5" s="213">
        <v>99226624</v>
      </c>
      <c r="H5" s="213">
        <v>582673</v>
      </c>
      <c r="I5" s="214">
        <f>SUM(C5:H5)</f>
        <v>187415863</v>
      </c>
      <c r="J5" s="212"/>
      <c r="K5" s="213"/>
      <c r="L5" s="213">
        <v>322369</v>
      </c>
      <c r="M5" s="213"/>
      <c r="N5" s="214">
        <f>SUM(J5:M5)</f>
        <v>322369</v>
      </c>
      <c r="O5" s="215"/>
      <c r="P5" s="213"/>
      <c r="Q5" s="213">
        <f>+I5+N5</f>
        <v>187738232</v>
      </c>
      <c r="R5" s="242">
        <f>+Q5/$Q$21</f>
        <v>0.25448452615134132</v>
      </c>
    </row>
    <row r="6" spans="1:22" s="216" customFormat="1" ht="20.100000000000001" customHeight="1">
      <c r="A6" s="217"/>
      <c r="B6" s="218">
        <v>2020</v>
      </c>
      <c r="C6" s="219"/>
      <c r="D6" s="220">
        <v>11729247</v>
      </c>
      <c r="E6" s="220">
        <v>1724925</v>
      </c>
      <c r="F6" s="220">
        <v>100088402</v>
      </c>
      <c r="G6" s="220">
        <v>6735000</v>
      </c>
      <c r="H6" s="220">
        <v>282496</v>
      </c>
      <c r="I6" s="221">
        <f>SUM(C6:H6)</f>
        <v>120560070</v>
      </c>
      <c r="J6" s="219"/>
      <c r="K6" s="220"/>
      <c r="L6" s="220">
        <v>545511</v>
      </c>
      <c r="M6" s="220"/>
      <c r="N6" s="221">
        <f>SUM(J6:M6)</f>
        <v>545511</v>
      </c>
      <c r="O6" s="222"/>
      <c r="P6" s="220"/>
      <c r="Q6" s="220">
        <f>+I6+N6</f>
        <v>121105581</v>
      </c>
      <c r="R6" s="243">
        <f>+Q6/$Q$22</f>
        <v>0.16412395690327361</v>
      </c>
    </row>
    <row r="7" spans="1:22" s="216" customFormat="1" ht="20.100000000000001" customHeight="1">
      <c r="A7" s="217"/>
      <c r="B7" s="218">
        <v>2021</v>
      </c>
      <c r="C7" s="219"/>
      <c r="D7" s="220">
        <v>12306452</v>
      </c>
      <c r="E7" s="220">
        <v>1914893</v>
      </c>
      <c r="F7" s="220">
        <v>62917215</v>
      </c>
      <c r="G7" s="220">
        <v>9044076</v>
      </c>
      <c r="H7" s="220">
        <v>178502</v>
      </c>
      <c r="I7" s="221">
        <f>SUM(C7:H7)</f>
        <v>86361138</v>
      </c>
      <c r="J7" s="219"/>
      <c r="K7" s="220"/>
      <c r="L7" s="220"/>
      <c r="M7" s="220"/>
      <c r="N7" s="221">
        <f>SUM(J7:M7)</f>
        <v>0</v>
      </c>
      <c r="O7" s="222"/>
      <c r="P7" s="220"/>
      <c r="Q7" s="220">
        <f>+I7+N7</f>
        <v>86361138</v>
      </c>
      <c r="R7" s="243">
        <f>+Q7/$Q$23</f>
        <v>0.18137888586803352</v>
      </c>
    </row>
    <row r="8" spans="1:22" s="216" customFormat="1" ht="20.100000000000001" customHeight="1" thickBot="1">
      <c r="A8" s="223"/>
      <c r="B8" s="234" t="s">
        <v>395</v>
      </c>
      <c r="C8" s="235"/>
      <c r="D8" s="236">
        <f t="shared" ref="D8:I8" si="0">+D7/D6-1</f>
        <v>4.9210746435811359E-2</v>
      </c>
      <c r="E8" s="236">
        <f t="shared" si="0"/>
        <v>0.11013116512312138</v>
      </c>
      <c r="F8" s="236">
        <f t="shared" si="0"/>
        <v>-0.37138355950572577</v>
      </c>
      <c r="G8" s="236">
        <f t="shared" si="0"/>
        <v>0.34284721603563484</v>
      </c>
      <c r="H8" s="236">
        <f t="shared" si="0"/>
        <v>-0.36812556637970095</v>
      </c>
      <c r="I8" s="236">
        <f t="shared" si="0"/>
        <v>-0.28366715447328461</v>
      </c>
      <c r="J8" s="225"/>
      <c r="K8" s="226"/>
      <c r="L8" s="236">
        <f>+L7/L6-1</f>
        <v>-1</v>
      </c>
      <c r="M8" s="236"/>
      <c r="N8" s="238">
        <f>+N7/N6-1</f>
        <v>-1</v>
      </c>
      <c r="O8" s="239"/>
      <c r="P8" s="236"/>
      <c r="Q8" s="236">
        <f>+Q7/Q6-1</f>
        <v>-0.28689382201139024</v>
      </c>
      <c r="R8" s="237"/>
    </row>
    <row r="9" spans="1:22" s="216" customFormat="1" ht="20.100000000000001" customHeight="1">
      <c r="A9" s="210" t="s">
        <v>245</v>
      </c>
      <c r="B9" s="211">
        <v>2019</v>
      </c>
      <c r="C9" s="212"/>
      <c r="D9" s="213">
        <v>23912130</v>
      </c>
      <c r="E9" s="213">
        <v>672330</v>
      </c>
      <c r="F9" s="213">
        <v>66539072</v>
      </c>
      <c r="G9" s="213">
        <v>2900000</v>
      </c>
      <c r="H9" s="213">
        <v>2510823</v>
      </c>
      <c r="I9" s="214">
        <f>SUM(C9:H9)</f>
        <v>96534355</v>
      </c>
      <c r="J9" s="212">
        <v>50000000</v>
      </c>
      <c r="K9" s="213"/>
      <c r="L9" s="213">
        <v>291217063</v>
      </c>
      <c r="M9" s="213"/>
      <c r="N9" s="214">
        <f>SUM(J9:M9)</f>
        <v>341217063</v>
      </c>
      <c r="O9" s="215"/>
      <c r="P9" s="213"/>
      <c r="Q9" s="213">
        <f>+I9+N9</f>
        <v>437751418</v>
      </c>
      <c r="R9" s="242">
        <f>+Q9/$Q$21</f>
        <v>0.59338452799431785</v>
      </c>
    </row>
    <row r="10" spans="1:22" s="216" customFormat="1" ht="20.100000000000001" customHeight="1">
      <c r="A10" s="217"/>
      <c r="B10" s="218">
        <v>2020</v>
      </c>
      <c r="C10" s="219"/>
      <c r="D10" s="220">
        <v>24195096</v>
      </c>
      <c r="E10" s="220">
        <v>486255</v>
      </c>
      <c r="F10" s="220">
        <v>61648931</v>
      </c>
      <c r="G10" s="220">
        <v>12200000</v>
      </c>
      <c r="H10" s="220">
        <v>326000</v>
      </c>
      <c r="I10" s="221">
        <f>SUM(C10:H10)</f>
        <v>98856282</v>
      </c>
      <c r="J10" s="219">
        <v>50000000</v>
      </c>
      <c r="K10" s="220"/>
      <c r="L10" s="220">
        <v>350834253</v>
      </c>
      <c r="M10" s="220"/>
      <c r="N10" s="221">
        <f>SUM(J10:M10)</f>
        <v>400834253</v>
      </c>
      <c r="O10" s="222"/>
      <c r="P10" s="220"/>
      <c r="Q10" s="220">
        <f>+I10+N10</f>
        <v>499690535</v>
      </c>
      <c r="R10" s="243">
        <f>+Q10/$Q$22</f>
        <v>0.67718751814843059</v>
      </c>
    </row>
    <row r="11" spans="1:22" s="216" customFormat="1" ht="20.100000000000001" customHeight="1">
      <c r="A11" s="217"/>
      <c r="B11" s="218">
        <v>2021</v>
      </c>
      <c r="C11" s="219"/>
      <c r="D11" s="220">
        <v>23953895</v>
      </c>
      <c r="E11" s="220">
        <v>486255</v>
      </c>
      <c r="F11" s="220">
        <v>43374453</v>
      </c>
      <c r="G11" s="220"/>
      <c r="H11" s="220">
        <v>129994</v>
      </c>
      <c r="I11" s="221">
        <f>SUM(C11:H11)</f>
        <v>67944597</v>
      </c>
      <c r="J11" s="219"/>
      <c r="K11" s="220"/>
      <c r="L11" s="220">
        <v>217450101</v>
      </c>
      <c r="M11" s="220"/>
      <c r="N11" s="221">
        <f>SUM(J11:M11)</f>
        <v>217450101</v>
      </c>
      <c r="O11" s="222"/>
      <c r="P11" s="220"/>
      <c r="Q11" s="220">
        <f>+I11+N11</f>
        <v>285394698</v>
      </c>
      <c r="R11" s="243">
        <f>+Q11/$Q$23</f>
        <v>0.59939659845478066</v>
      </c>
    </row>
    <row r="12" spans="1:22" s="216" customFormat="1" ht="20.100000000000001" customHeight="1" thickBot="1">
      <c r="A12" s="223"/>
      <c r="B12" s="234" t="s">
        <v>395</v>
      </c>
      <c r="C12" s="235"/>
      <c r="D12" s="236">
        <f>+D11/D10-1</f>
        <v>-9.9690036361087531E-3</v>
      </c>
      <c r="E12" s="236">
        <f t="shared" ref="E12:N12" si="1">+E11/E10-1</f>
        <v>0</v>
      </c>
      <c r="F12" s="236">
        <f t="shared" si="1"/>
        <v>-0.29642814082210123</v>
      </c>
      <c r="G12" s="236">
        <f t="shared" si="1"/>
        <v>-1</v>
      </c>
      <c r="H12" s="236">
        <f t="shared" si="1"/>
        <v>-0.6012453987730062</v>
      </c>
      <c r="I12" s="238">
        <f t="shared" si="1"/>
        <v>-0.31269317816342723</v>
      </c>
      <c r="J12" s="241">
        <f t="shared" si="1"/>
        <v>-1</v>
      </c>
      <c r="K12" s="236"/>
      <c r="L12" s="236">
        <f t="shared" si="1"/>
        <v>-0.38019136061951164</v>
      </c>
      <c r="M12" s="236"/>
      <c r="N12" s="238">
        <f t="shared" si="1"/>
        <v>-0.45750619022072447</v>
      </c>
      <c r="O12" s="239"/>
      <c r="P12" s="236"/>
      <c r="Q12" s="236">
        <f>+Q11/Q10-1</f>
        <v>-0.42885710652894393</v>
      </c>
      <c r="R12" s="238"/>
    </row>
    <row r="13" spans="1:22" s="216" customFormat="1" ht="20.100000000000001" customHeight="1">
      <c r="A13" s="210" t="s">
        <v>246</v>
      </c>
      <c r="B13" s="211">
        <v>2019</v>
      </c>
      <c r="C13" s="212"/>
      <c r="D13" s="213">
        <v>15844452</v>
      </c>
      <c r="E13" s="213">
        <v>1239840</v>
      </c>
      <c r="F13" s="213">
        <v>72033471</v>
      </c>
      <c r="G13" s="213">
        <v>7500000</v>
      </c>
      <c r="H13" s="213">
        <v>110100</v>
      </c>
      <c r="I13" s="214">
        <f>SUM(C13:H13)</f>
        <v>96727863</v>
      </c>
      <c r="J13" s="212"/>
      <c r="K13" s="213"/>
      <c r="L13" s="213">
        <v>4912792</v>
      </c>
      <c r="M13" s="213"/>
      <c r="N13" s="214">
        <f>SUM(J13:M13)</f>
        <v>4912792</v>
      </c>
      <c r="O13" s="215"/>
      <c r="P13" s="213"/>
      <c r="Q13" s="213">
        <f>+I13+N13</f>
        <v>101640655</v>
      </c>
      <c r="R13" s="242">
        <f>+Q13/$Q$21</f>
        <v>0.13777680576744197</v>
      </c>
    </row>
    <row r="14" spans="1:22" s="216" customFormat="1" ht="20.100000000000001" customHeight="1">
      <c r="A14" s="217"/>
      <c r="B14" s="218">
        <v>2020</v>
      </c>
      <c r="C14" s="219"/>
      <c r="D14" s="220">
        <v>15843615</v>
      </c>
      <c r="E14" s="220">
        <v>785468</v>
      </c>
      <c r="F14" s="220">
        <v>73744979</v>
      </c>
      <c r="G14" s="220">
        <v>7500000</v>
      </c>
      <c r="H14" s="220">
        <v>31000</v>
      </c>
      <c r="I14" s="221">
        <f>SUM(C14:H14)</f>
        <v>97905062</v>
      </c>
      <c r="J14" s="219"/>
      <c r="K14" s="220"/>
      <c r="L14" s="220">
        <v>8302887</v>
      </c>
      <c r="M14" s="220"/>
      <c r="N14" s="221">
        <f>SUM(J14:M14)</f>
        <v>8302887</v>
      </c>
      <c r="O14" s="222"/>
      <c r="P14" s="220"/>
      <c r="Q14" s="220">
        <f>+I14+N14</f>
        <v>106207949</v>
      </c>
      <c r="R14" s="243">
        <f>+Q14/$Q$22</f>
        <v>0.14393448014968921</v>
      </c>
    </row>
    <row r="15" spans="1:22" s="216" customFormat="1" ht="20.100000000000001" customHeight="1">
      <c r="A15" s="217"/>
      <c r="B15" s="218">
        <v>2021</v>
      </c>
      <c r="C15" s="219"/>
      <c r="D15" s="220">
        <v>15600672</v>
      </c>
      <c r="E15" s="220">
        <v>808841</v>
      </c>
      <c r="F15" s="220">
        <v>64240120</v>
      </c>
      <c r="G15" s="220">
        <v>7500000</v>
      </c>
      <c r="H15" s="220">
        <v>31000</v>
      </c>
      <c r="I15" s="221">
        <f>SUM(C15:H15)</f>
        <v>88180633</v>
      </c>
      <c r="J15" s="219"/>
      <c r="K15" s="220"/>
      <c r="L15" s="220">
        <v>6175400</v>
      </c>
      <c r="M15" s="220"/>
      <c r="N15" s="221">
        <f>SUM(J15:M15)</f>
        <v>6175400</v>
      </c>
      <c r="O15" s="222"/>
      <c r="P15" s="220"/>
      <c r="Q15" s="220">
        <f>+I15+N15</f>
        <v>94356033</v>
      </c>
      <c r="R15" s="243">
        <f>+Q15/$Q$23</f>
        <v>0.19817006279453386</v>
      </c>
    </row>
    <row r="16" spans="1:22" s="216" customFormat="1" ht="20.100000000000001" customHeight="1" thickBot="1">
      <c r="A16" s="223"/>
      <c r="B16" s="234" t="s">
        <v>395</v>
      </c>
      <c r="C16" s="235"/>
      <c r="D16" s="236">
        <f t="shared" ref="D16:I16" si="2">+D15/D14-1</f>
        <v>-1.5333811128331543E-2</v>
      </c>
      <c r="E16" s="236">
        <f t="shared" si="2"/>
        <v>2.9756781944012989E-2</v>
      </c>
      <c r="F16" s="236">
        <f t="shared" si="2"/>
        <v>-0.12888821895250657</v>
      </c>
      <c r="G16" s="236">
        <f t="shared" si="2"/>
        <v>0</v>
      </c>
      <c r="H16" s="236">
        <f t="shared" si="2"/>
        <v>0</v>
      </c>
      <c r="I16" s="238">
        <f t="shared" si="2"/>
        <v>-9.9325089033700853E-2</v>
      </c>
      <c r="J16" s="241"/>
      <c r="K16" s="236"/>
      <c r="L16" s="236">
        <f>+L15/L14-1</f>
        <v>-0.25623460851629076</v>
      </c>
      <c r="M16" s="236"/>
      <c r="N16" s="238">
        <f>+N15/N14-1</f>
        <v>-0.25623460851629076</v>
      </c>
      <c r="O16" s="239"/>
      <c r="P16" s="236"/>
      <c r="Q16" s="236">
        <f>+Q15/Q14-1</f>
        <v>-0.11159160977677862</v>
      </c>
      <c r="R16" s="238"/>
    </row>
    <row r="17" spans="1:18" s="216" customFormat="1" ht="20.100000000000001" customHeight="1">
      <c r="A17" s="210" t="s">
        <v>247</v>
      </c>
      <c r="B17" s="211">
        <v>2019</v>
      </c>
      <c r="C17" s="212"/>
      <c r="D17" s="213"/>
      <c r="E17" s="213">
        <v>10228331</v>
      </c>
      <c r="F17" s="213"/>
      <c r="G17" s="213"/>
      <c r="H17" s="213">
        <v>361000</v>
      </c>
      <c r="I17" s="214">
        <f>SUM(C17:H17)</f>
        <v>10589331</v>
      </c>
      <c r="J17" s="212"/>
      <c r="K17" s="213"/>
      <c r="L17" s="213"/>
      <c r="M17" s="213"/>
      <c r="N17" s="214">
        <f>SUM(J17:M17)</f>
        <v>0</v>
      </c>
      <c r="O17" s="215"/>
      <c r="P17" s="213"/>
      <c r="Q17" s="213">
        <f t="shared" ref="Q17:Q23" si="3">+I17+N17</f>
        <v>10589331</v>
      </c>
      <c r="R17" s="242">
        <f>+Q17/$Q$21</f>
        <v>1.4354140086898812E-2</v>
      </c>
    </row>
    <row r="18" spans="1:18" s="216" customFormat="1" ht="20.100000000000001" customHeight="1">
      <c r="A18" s="217"/>
      <c r="B18" s="218">
        <v>2020</v>
      </c>
      <c r="C18" s="219"/>
      <c r="D18" s="220"/>
      <c r="E18" s="220">
        <v>10886876</v>
      </c>
      <c r="F18" s="220"/>
      <c r="G18" s="220"/>
      <c r="H18" s="220">
        <v>0</v>
      </c>
      <c r="I18" s="221">
        <f>SUM(C18:H18)</f>
        <v>10886876</v>
      </c>
      <c r="J18" s="219"/>
      <c r="K18" s="220"/>
      <c r="L18" s="220"/>
      <c r="M18" s="220"/>
      <c r="N18" s="221">
        <f>SUM(J18:M18)</f>
        <v>0</v>
      </c>
      <c r="O18" s="222"/>
      <c r="P18" s="220"/>
      <c r="Q18" s="220">
        <f t="shared" si="3"/>
        <v>10886876</v>
      </c>
      <c r="R18" s="243">
        <f>+Q18/$Q$22</f>
        <v>1.4754044798606628E-2</v>
      </c>
    </row>
    <row r="19" spans="1:18" s="216" customFormat="1" ht="20.100000000000001" customHeight="1">
      <c r="A19" s="217"/>
      <c r="B19" s="218">
        <v>2021</v>
      </c>
      <c r="C19" s="219"/>
      <c r="D19" s="220"/>
      <c r="E19" s="220">
        <v>10024797</v>
      </c>
      <c r="F19" s="220"/>
      <c r="G19" s="220"/>
      <c r="H19" s="220">
        <v>0</v>
      </c>
      <c r="I19" s="221">
        <f>SUM(C19:H19)</f>
        <v>10024797</v>
      </c>
      <c r="J19" s="219"/>
      <c r="K19" s="220"/>
      <c r="L19" s="220"/>
      <c r="M19" s="220"/>
      <c r="N19" s="221">
        <f>SUM(J19:M19)</f>
        <v>0</v>
      </c>
      <c r="O19" s="222"/>
      <c r="P19" s="220"/>
      <c r="Q19" s="220">
        <f>+I19+N19</f>
        <v>10024797</v>
      </c>
      <c r="R19" s="243">
        <f>+Q19/$Q$23</f>
        <v>2.1054452882651974E-2</v>
      </c>
    </row>
    <row r="20" spans="1:18" s="216" customFormat="1" ht="20.100000000000001" customHeight="1" thickBot="1">
      <c r="A20" s="223"/>
      <c r="B20" s="224" t="s">
        <v>395</v>
      </c>
      <c r="C20" s="225"/>
      <c r="D20" s="226"/>
      <c r="E20" s="236">
        <f>+E19/E18-1</f>
        <v>-7.9185158350292606E-2</v>
      </c>
      <c r="F20" s="226"/>
      <c r="G20" s="226"/>
      <c r="H20" s="236">
        <v>0</v>
      </c>
      <c r="I20" s="238">
        <f>+I19/I18-1</f>
        <v>-7.9185158350292606E-2</v>
      </c>
      <c r="J20" s="225"/>
      <c r="K20" s="226"/>
      <c r="L20" s="226"/>
      <c r="M20" s="226"/>
      <c r="N20" s="227"/>
      <c r="O20" s="228"/>
      <c r="P20" s="226"/>
      <c r="Q20" s="236">
        <f>+Q19/Q18-1</f>
        <v>-7.9185158350292606E-2</v>
      </c>
      <c r="R20" s="237"/>
    </row>
    <row r="21" spans="1:18" s="216" customFormat="1" ht="20.100000000000001" customHeight="1">
      <c r="A21" s="244" t="s">
        <v>0</v>
      </c>
      <c r="B21" s="211">
        <v>2019</v>
      </c>
      <c r="C21" s="229"/>
      <c r="D21" s="230">
        <f t="shared" ref="D21:H23" si="4">+D5+D9+D13+D17</f>
        <v>52426261</v>
      </c>
      <c r="E21" s="230">
        <f t="shared" si="4"/>
        <v>15459271</v>
      </c>
      <c r="F21" s="230">
        <f t="shared" si="4"/>
        <v>210190660</v>
      </c>
      <c r="G21" s="230">
        <f t="shared" si="4"/>
        <v>109626624</v>
      </c>
      <c r="H21" s="230">
        <f t="shared" si="4"/>
        <v>3564596</v>
      </c>
      <c r="I21" s="231">
        <f>SUM(C21:H21)</f>
        <v>391267412</v>
      </c>
      <c r="J21" s="229">
        <f t="shared" ref="J21:M23" si="5">+J5+J9+J13+J17</f>
        <v>50000000</v>
      </c>
      <c r="K21" s="230">
        <f t="shared" si="5"/>
        <v>0</v>
      </c>
      <c r="L21" s="230">
        <f t="shared" si="5"/>
        <v>296452224</v>
      </c>
      <c r="M21" s="230">
        <f t="shared" si="5"/>
        <v>0</v>
      </c>
      <c r="N21" s="231">
        <f>SUM(J21:M21)</f>
        <v>346452224</v>
      </c>
      <c r="O21" s="232"/>
      <c r="P21" s="230"/>
      <c r="Q21" s="230">
        <f t="shared" si="3"/>
        <v>737719636</v>
      </c>
      <c r="R21" s="242">
        <f>+Q21/$Q$21</f>
        <v>1</v>
      </c>
    </row>
    <row r="22" spans="1:18" s="216" customFormat="1" ht="20.100000000000001" customHeight="1">
      <c r="A22" s="233"/>
      <c r="B22" s="218">
        <v>2020</v>
      </c>
      <c r="C22" s="219"/>
      <c r="D22" s="220">
        <f t="shared" si="4"/>
        <v>51767958</v>
      </c>
      <c r="E22" s="220">
        <f t="shared" si="4"/>
        <v>13883524</v>
      </c>
      <c r="F22" s="220">
        <f t="shared" si="4"/>
        <v>235482312</v>
      </c>
      <c r="G22" s="220">
        <f t="shared" si="4"/>
        <v>26435000</v>
      </c>
      <c r="H22" s="220">
        <f t="shared" si="4"/>
        <v>639496</v>
      </c>
      <c r="I22" s="221">
        <f>SUM(C22:H22)</f>
        <v>328208290</v>
      </c>
      <c r="J22" s="219">
        <f t="shared" si="5"/>
        <v>50000000</v>
      </c>
      <c r="K22" s="220">
        <f t="shared" si="5"/>
        <v>0</v>
      </c>
      <c r="L22" s="220">
        <f t="shared" si="5"/>
        <v>359682651</v>
      </c>
      <c r="M22" s="220">
        <f t="shared" si="5"/>
        <v>0</v>
      </c>
      <c r="N22" s="221">
        <f>SUM(J22:M22)</f>
        <v>409682651</v>
      </c>
      <c r="O22" s="222"/>
      <c r="P22" s="220"/>
      <c r="Q22" s="220">
        <f t="shared" si="3"/>
        <v>737890941</v>
      </c>
      <c r="R22" s="243">
        <f>+Q22/$Q$22</f>
        <v>1</v>
      </c>
    </row>
    <row r="23" spans="1:18" s="216" customFormat="1" ht="20.100000000000001" customHeight="1">
      <c r="A23" s="233"/>
      <c r="B23" s="218">
        <v>2021</v>
      </c>
      <c r="C23" s="219"/>
      <c r="D23" s="220">
        <f t="shared" si="4"/>
        <v>51861019</v>
      </c>
      <c r="E23" s="220">
        <f t="shared" si="4"/>
        <v>13234786</v>
      </c>
      <c r="F23" s="220">
        <f t="shared" si="4"/>
        <v>170531788</v>
      </c>
      <c r="G23" s="220">
        <f t="shared" si="4"/>
        <v>16544076</v>
      </c>
      <c r="H23" s="220">
        <f t="shared" si="4"/>
        <v>339496</v>
      </c>
      <c r="I23" s="221">
        <f>SUM(C23:H23)</f>
        <v>252511165</v>
      </c>
      <c r="J23" s="219">
        <f t="shared" si="5"/>
        <v>0</v>
      </c>
      <c r="K23" s="220">
        <f t="shared" si="5"/>
        <v>0</v>
      </c>
      <c r="L23" s="220">
        <f t="shared" si="5"/>
        <v>223625501</v>
      </c>
      <c r="M23" s="220">
        <f t="shared" si="5"/>
        <v>0</v>
      </c>
      <c r="N23" s="221">
        <f>SUM(J23:M23)</f>
        <v>223625501</v>
      </c>
      <c r="O23" s="222"/>
      <c r="P23" s="220"/>
      <c r="Q23" s="220">
        <f t="shared" si="3"/>
        <v>476136666</v>
      </c>
      <c r="R23" s="243">
        <f>+Q23/$Q$23</f>
        <v>1</v>
      </c>
    </row>
    <row r="24" spans="1:18" s="216" customFormat="1" ht="20.100000000000001" customHeight="1" thickBot="1">
      <c r="A24" s="223"/>
      <c r="B24" s="234" t="s">
        <v>395</v>
      </c>
      <c r="C24" s="235"/>
      <c r="D24" s="236">
        <f>+D23/D22-1</f>
        <v>1.7976563804196211E-3</v>
      </c>
      <c r="E24" s="236">
        <f t="shared" ref="E24:N24" si="6">+E23/E22-1</f>
        <v>-4.6727185403360072E-2</v>
      </c>
      <c r="F24" s="236">
        <f t="shared" si="6"/>
        <v>-0.27581911969676942</v>
      </c>
      <c r="G24" s="236">
        <f t="shared" si="6"/>
        <v>-0.37416016644599959</v>
      </c>
      <c r="H24" s="236">
        <f t="shared" si="6"/>
        <v>-0.46911943155234748</v>
      </c>
      <c r="I24" s="238">
        <f t="shared" si="6"/>
        <v>-0.23063745586682161</v>
      </c>
      <c r="J24" s="241">
        <f t="shared" si="6"/>
        <v>-1</v>
      </c>
      <c r="K24" s="236"/>
      <c r="L24" s="236">
        <f t="shared" si="6"/>
        <v>-0.37826998222385766</v>
      </c>
      <c r="M24" s="236"/>
      <c r="N24" s="238">
        <f t="shared" si="6"/>
        <v>-0.4541494484715195</v>
      </c>
      <c r="O24" s="239"/>
      <c r="P24" s="236"/>
      <c r="Q24" s="236">
        <f>+Q23/Q22-1</f>
        <v>-0.35473301060623808</v>
      </c>
      <c r="R24" s="240"/>
    </row>
  </sheetData>
  <mergeCells count="6">
    <mergeCell ref="Q3:R3"/>
    <mergeCell ref="A3:A4"/>
    <mergeCell ref="C3:I3"/>
    <mergeCell ref="J3:N3"/>
    <mergeCell ref="O3:P3"/>
    <mergeCell ref="B3:B4"/>
  </mergeCells>
  <phoneticPr fontId="0" type="noConversion"/>
  <printOptions horizontalCentered="1"/>
  <pageMargins left="0.23622047244094491" right="0.23622047244094491" top="0.94488188976377963" bottom="0.74803149606299213" header="0.51181102362204722" footer="0.31496062992125984"/>
  <pageSetup paperSize="9" scale="67" orientation="landscape" r:id="rId1"/>
  <headerFooter alignWithMargins="0">
    <oddHeader xml:space="preserve">&amp;C&amp;"Arial,Negrita"&amp;18PROYECTO DE PRESUPUESTO 2021
</oddHeader>
    <oddFooter>&amp;L&amp;"Arial,Negrita"&amp;8PROYECTO DE PRESUPUESTO PARA EL AÑO FISCAL 2021
INFORMACIÓN PARA LA COMISIÓN DE PRESUPUESTO Y CUENTA GENERAL DE LA REPÚBLICA DEL CONGRESO DE LA REPÚBLICA</oddFooter>
  </headerFooter>
  <ignoredErrors>
    <ignoredError sqref="I5:I7 I9:I11 I13:I15 I17:I19" formulaRange="1"/>
    <ignoredError sqref="I22:I23" formula="1" formulaRange="1"/>
    <ignoredError sqref="I20:I21 I8 N8 I12 Q12 N12 Q8 I16 Q16 N16 Q2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27</vt:i4>
      </vt:variant>
    </vt:vector>
  </HeadingPairs>
  <TitlesOfParts>
    <vt:vector size="47" baseType="lpstr">
      <vt:lpstr>Índice</vt:lpstr>
      <vt:lpstr>F-01</vt:lpstr>
      <vt:lpstr>F-02</vt:lpstr>
      <vt:lpstr>F-03</vt:lpstr>
      <vt:lpstr>F-04</vt:lpstr>
      <vt:lpstr>F-05</vt:lpstr>
      <vt:lpstr>F-06</vt:lpstr>
      <vt:lpstr>F-07</vt:lpstr>
      <vt:lpstr>F-08</vt:lpstr>
      <vt:lpstr>F-09</vt:lpstr>
      <vt:lpstr>F-10</vt:lpstr>
      <vt:lpstr>F-11</vt:lpstr>
      <vt:lpstr>F-12</vt:lpstr>
      <vt:lpstr>F-13</vt:lpstr>
      <vt:lpstr>F-14</vt:lpstr>
      <vt:lpstr>F-15</vt:lpstr>
      <vt:lpstr>F-16</vt:lpstr>
      <vt:lpstr>F-17</vt:lpstr>
      <vt:lpstr>F-18</vt:lpstr>
      <vt:lpstr>Hoja1</vt:lpstr>
      <vt:lpstr>'F-01'!Área_de_impresión</vt:lpstr>
      <vt:lpstr>'F-03'!Área_de_impresión</vt:lpstr>
      <vt:lpstr>'F-06'!Área_de_impresión</vt:lpstr>
      <vt:lpstr>'F-07'!Área_de_impresión</vt:lpstr>
      <vt:lpstr>'F-08'!Área_de_impresión</vt:lpstr>
      <vt:lpstr>'F-09'!Área_de_impresión</vt:lpstr>
      <vt:lpstr>'F-10'!Área_de_impresión</vt:lpstr>
      <vt:lpstr>'F-11'!Área_de_impresión</vt:lpstr>
      <vt:lpstr>'F-13'!Área_de_impresión</vt:lpstr>
      <vt:lpstr>'F-15'!Área_de_impresión</vt:lpstr>
      <vt:lpstr>'F-16'!Área_de_impresión</vt:lpstr>
      <vt:lpstr>'F-17'!Área_de_impresión</vt:lpstr>
      <vt:lpstr>Índice!Área_de_impresión</vt:lpstr>
      <vt:lpstr>'F-01'!Títulos_a_imprimir</vt:lpstr>
      <vt:lpstr>'F-02'!Títulos_a_imprimir</vt:lpstr>
      <vt:lpstr>'F-03'!Títulos_a_imprimir</vt:lpstr>
      <vt:lpstr>'F-09'!Títulos_a_imprimir</vt:lpstr>
      <vt:lpstr>'F-10'!Títulos_a_imprimir</vt:lpstr>
      <vt:lpstr>'F-11'!Títulos_a_imprimir</vt:lpstr>
      <vt:lpstr>'F-12'!Títulos_a_imprimir</vt:lpstr>
      <vt:lpstr>'F-13'!Títulos_a_imprimir</vt:lpstr>
      <vt:lpstr>'F-14'!Títulos_a_imprimir</vt:lpstr>
      <vt:lpstr>'F-15'!Títulos_a_imprimir</vt:lpstr>
      <vt:lpstr>'F-16'!Títulos_a_imprimir</vt:lpstr>
      <vt:lpstr>'F-17'!Títulos_a_imprimir</vt:lpstr>
      <vt:lpstr>'F-18'!Títulos_a_imprimir</vt:lpstr>
      <vt:lpstr>Índice!Títulos_a_imprimir</vt:lpstr>
    </vt:vector>
  </TitlesOfParts>
  <Company>Congreso de la República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Directiva Formulaicón de Presupuesto (V 2008)</dc:title>
  <dc:creator>Asesoria de Presupuesto</dc:creator>
  <cp:lastModifiedBy>pined</cp:lastModifiedBy>
  <cp:lastPrinted>2020-10-13T15:05:10Z</cp:lastPrinted>
  <dcterms:created xsi:type="dcterms:W3CDTF">1998-08-20T20:27:58Z</dcterms:created>
  <dcterms:modified xsi:type="dcterms:W3CDTF">2020-10-13T19:20:03Z</dcterms:modified>
</cp:coreProperties>
</file>